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tabRatio="942" firstSheet="6" activeTab="6"/>
  </bookViews>
  <sheets>
    <sheet name="Help" sheetId="1" r:id="rId1"/>
    <sheet name="Settings" sheetId="2" r:id="rId2"/>
    <sheet name="Results" sheetId="3" r:id="rId3"/>
    <sheet name="Transportation" sheetId="4" r:id="rId4"/>
    <sheet name="Area Source" sheetId="5" r:id="rId5"/>
    <sheet name=" Elec &amp; Natural Gas" sheetId="6" r:id="rId6"/>
    <sheet name="Water &amp; Wastewater" sheetId="7" r:id="rId7"/>
    <sheet name="Solid Waste" sheetId="8" r:id="rId8"/>
    <sheet name="Ag" sheetId="9" r:id="rId9"/>
    <sheet name="Off-Road Equip" sheetId="10" r:id="rId10"/>
    <sheet name="Refrigerants" sheetId="11" r:id="rId11"/>
    <sheet name="Mitigation" sheetId="12" r:id="rId12"/>
    <sheet name="Sequestration" sheetId="13" r:id="rId13"/>
    <sheet name="Transp. Detail Mit" sheetId="14" r:id="rId14"/>
    <sheet name="Land Use Detail" sheetId="15" r:id="rId15"/>
    <sheet name="Hidden Lists" sheetId="16" state="veryHidden" r:id="rId16"/>
  </sheets>
  <definedNames>
    <definedName name="nrAgBaseAnimals">'Ag'!$J$17:$J$30</definedName>
    <definedName name="nrAgBaseEquip">'Ag'!$J$36:$J$38</definedName>
    <definedName name="nrAgBaseFert">'Ag'!$J$54</definedName>
    <definedName name="nrAgBasekwh">'Ag'!$J$50</definedName>
    <definedName name="nrAgBaseStat">'Ag'!$J$43:$J$45</definedName>
    <definedName name="nrAgEmissionRates">'Ag'!$B$58:$E$72</definedName>
    <definedName name="nrAgUrbAnimals">'Ag'!$C$17:$C$30</definedName>
    <definedName name="nrAgUrbEquip">'Ag'!$C$36:$C$38</definedName>
    <definedName name="nrAgUrbFert">'Ag'!$C$54</definedName>
    <definedName name="nrAgUrbkwh">'Ag'!$C$50</definedName>
    <definedName name="nrAgUrbStat">'Ag'!$C$43:$C$45</definedName>
    <definedName name="nrBaseBlankElecNatGas">' Elec &amp; Natural Gas'!$R$86:$T$127</definedName>
    <definedName name="nrBaseBlankSolidWaste">'Solid Waste'!$J$81:$L$122</definedName>
    <definedName name="nrBaseBlankWater">'Water &amp; Wastewater'!$K$120:$L$161</definedName>
    <definedName name="nrBaseFireplaceUsage">'Hidden Lists'!$B$28</definedName>
    <definedName name="nrBaseGasFireplaceUsage">'Hidden Lists'!$B$29</definedName>
    <definedName name="nrBaseHearthMit">'Hidden Lists'!$B$20</definedName>
    <definedName name="nrBaseHearthUnMit">'Hidden Lists'!$B$17</definedName>
    <definedName name="nrBaseLandscapeMit">'Hidden Lists'!$B$21</definedName>
    <definedName name="nrBaseLandscapeUnMit">'Hidden Lists'!$B$18</definedName>
    <definedName name="nrBaseLandUseSqFt">'Hidden Lists'!$B$46:$BZ$46</definedName>
    <definedName name="nrBaselineFileName">'Settings'!$N$21</definedName>
    <definedName name="nrBaselineLandfillOption">'Hidden Lists'!$B$56</definedName>
    <definedName name="nrBaselineName">'Settings'!$N$29</definedName>
    <definedName name="nrBaselineWaterkwhPerYear">'Water &amp; Wastewater'!$H$42</definedName>
    <definedName name="nrBaselineWaterUse">'Water &amp; Wastewater'!$I$162</definedName>
    <definedName name="nrBaselineYear">'Hidden Lists'!$B$41</definedName>
    <definedName name="nrBaseMultiFamilyUnits">'Hidden Lists'!$B$50</definedName>
    <definedName name="nrBaseOpVehTPYMit">'Hidden Lists'!$B$8:$Q$8</definedName>
    <definedName name="nrBaseOpVehTPYUnMit">'Hidden Lists'!$B$7:$Q$7</definedName>
    <definedName name="nrBaseSingleFamilyUnits">'Hidden Lists'!$B$49</definedName>
    <definedName name="nrBaseWoodStoveUsage">'Hidden Lists'!$B$27</definedName>
    <definedName name="nrCH4EmFactor">'Water &amp; Wastewater'!$D$46</definedName>
    <definedName name="nrClearA">'Hidden Lists'!$B$4:$Q$8</definedName>
    <definedName name="nrClearB">'Hidden Lists'!$B$11:$B$29</definedName>
    <definedName name="nrClearC">'Hidden Lists'!$B$32:$B$35</definedName>
    <definedName name="nrClearD">'Hidden Lists'!$B$45:$BZ$46</definedName>
    <definedName name="nrClearE">'Hidden Lists'!$B$47:$B$50</definedName>
    <definedName name="nrClearF">'Transp. Detail Mit'!$A$4:$C$500</definedName>
    <definedName name="nrClearG">'Land Use Detail'!$A$4:$J$300</definedName>
    <definedName name="nrClearMit1">'Mitigation'!$C$8</definedName>
    <definedName name="nrClearMit10">'Mitigation'!$C$29</definedName>
    <definedName name="nrClearMit11">'Mitigation'!$C$32</definedName>
    <definedName name="nrClearMit12">'Mitigation'!$C$35</definedName>
    <definedName name="nrClearMit2">'Mitigation'!$C$9</definedName>
    <definedName name="nrClearMit3">'Mitigation'!$C$12</definedName>
    <definedName name="nrClearMit4">'Mitigation'!$C$15</definedName>
    <definedName name="nrClearMit5">'Mitigation'!$C$18</definedName>
    <definedName name="nrClearMit6">'Mitigation'!$C$19</definedName>
    <definedName name="nrClearMit7">'Mitigation'!$C$20</definedName>
    <definedName name="nrClearMit8">'Mitigation'!$C$23</definedName>
    <definedName name="nrClearMit9">'Mitigation'!$C$26</definedName>
    <definedName name="nrClimateZone">'Hidden Lists'!$B$53</definedName>
    <definedName name="nrCO2EmFactor">'Water &amp; Wastewater'!$C$46</definedName>
    <definedName name="nrCSInputs">'Sequestration'!$C$16:$H$30</definedName>
    <definedName name="nrElecBaseNonres">' Elec &amp; Natural Gas'!$E$85:$E$127</definedName>
    <definedName name="nrElecBaseRes">' Elec &amp; Natural Gas'!$F$80:$F$81</definedName>
    <definedName name="nrElecUrbNonres">' Elec &amp; Natural Gas'!$E$33:$E$75</definedName>
    <definedName name="nrElecUrbRes">' Elec &amp; Natural Gas'!$F$28:$F$29</definedName>
    <definedName name="nrEmfacDir">'Settings'!$N$40</definedName>
    <definedName name="nrGallonsPerAcreFoot">'Water &amp; Wastewater'!$C$61</definedName>
    <definedName name="nrLandUseDesc">'Hidden Lists'!$B$44:$BZ$44</definedName>
    <definedName name="nrLastBaselineRun">'Settings'!$N$26</definedName>
    <definedName name="nrLastUrbRun">'Settings'!$N$12</definedName>
    <definedName name="nrLCFLookup">'Transportation'!$B$74:$D$104</definedName>
    <definedName name="nrLUAcreage">'Land Use Detail'!$D$4</definedName>
    <definedName name="nrLUDesc">'Land Use Detail'!$A$4</definedName>
    <definedName name="nrLUUnitAmt">'Land Use Detail'!$B$4</definedName>
    <definedName name="nrLUUnits">'Land Use Detail'!$C$4</definedName>
    <definedName name="nrMaxLandUseRows">'Hidden Lists'!$B$33</definedName>
    <definedName name="nrMaxTranDetailRows">'Hidden Lists'!$B$32</definedName>
    <definedName name="nrMaxTravelRows">'Hidden Lists'!$B$35</definedName>
    <definedName name="nrMaxVehicleRows">'Hidden Lists'!$B$34</definedName>
    <definedName name="nrMetricTonAdj">'Hidden Lists'!$B$38</definedName>
    <definedName name="nrMultiFamilySize">'Water &amp; Wastewater'!$C$23</definedName>
    <definedName name="nrN2OEmFactor">'Water &amp; Wastewater'!$E$46</definedName>
    <definedName name="nrNatGasBaseNonres">' Elec &amp; Natural Gas'!$J$85:$J$127</definedName>
    <definedName name="nrNatGasBaseRes">' Elec &amp; Natural Gas'!$L$80:$L$81</definedName>
    <definedName name="nrNatGasUrbNonres">' Elec &amp; Natural Gas'!$J$33:$J$75</definedName>
    <definedName name="nrNatGasUrbRes">' Elec &amp; Natural Gas'!$L$28:$L$29</definedName>
    <definedName name="nrOpVehAnnualMisc">'Transp. Detail Mit'!$C$4</definedName>
    <definedName name="nrOpVehMitNonRes">'Transp. Detail Mit'!$B$4</definedName>
    <definedName name="nrOpVehMitRes">'Transp. Detail Mit'!$A$4</definedName>
    <definedName name="nrORBaseline">'Off-Road Equip'!$J$21:$J$23</definedName>
    <definedName name="nrORProject">'Off-Road Equip'!$D$21:$D$23</definedName>
    <definedName name="nrPavleyLookup">'Transportation'!$B$48:$L$63</definedName>
    <definedName name="nrPoundsInMetricTon">'Hidden Lists'!$B$39</definedName>
    <definedName name="nrProjectBlankElecNatGas">' Elec &amp; Natural Gas'!$R$34:$T$75</definedName>
    <definedName name="nrProjectBlankSolidWaste">'Solid Waste'!$J$32:$L$73</definedName>
    <definedName name="nrProjectBlankWater">'Water &amp; Wastewater'!$K$70:$L$111</definedName>
    <definedName name="nrProjectLandfillOption">'Hidden Lists'!$B$55</definedName>
    <definedName name="nrProjectName">'Settings'!$N$15</definedName>
    <definedName name="nrProjectWaterkwhPerYear">'Water &amp; Wastewater'!$C$42</definedName>
    <definedName name="nrProjectWaterUse">'Water &amp; Wastewater'!$I$112</definedName>
    <definedName name="nrProjectYear">'Hidden Lists'!$B$42</definedName>
    <definedName name="nrRefrigBaseCharge">'Refrigerants'!$M$14:$M$17</definedName>
    <definedName name="nrRefrigBaseChargeAC">'Refrigerants'!$M$19:$M$22</definedName>
    <definedName name="nrRefrigBaseGWP">'Refrigerants'!$Q$14:$Q$17</definedName>
    <definedName name="nrRefrigBaseGWPAC">'Refrigerants'!$Q$19:$Q$22</definedName>
    <definedName name="nrRefrigBaseLeakage">'Refrigerants'!$O$14:$O$17</definedName>
    <definedName name="nrRefrigBaseLeakageAC">'Refrigerants'!$O$19:$O$22</definedName>
    <definedName name="nrRefrigUrbCharge">'Refrigerants'!$D$14:$D$17</definedName>
    <definedName name="nrRefrigUrbChargeAC">'Refrigerants'!$D$19:$D$22</definedName>
    <definedName name="nrRefrigUrbGWP">'Refrigerants'!$H$14:$H$17</definedName>
    <definedName name="nrRefrigUrbGWPAC">'Refrigerants'!$H$19:$H$22</definedName>
    <definedName name="nrRefrigUrbLeakage">'Refrigerants'!$F$14:$F$17</definedName>
    <definedName name="nrRefrigUrbLeakageAC">'Refrigerants'!$F$19:$F$22</definedName>
    <definedName name="nrResultAg">'Ag'!$F$12</definedName>
    <definedName name="nrResultAgBase">'Ag'!$E$11</definedName>
    <definedName name="nrResultAreaBase">'Area Source'!$D$21</definedName>
    <definedName name="nrResultAreaMit">'Area Source'!$K$22</definedName>
    <definedName name="nrResultAreaUnMit">'Area Source'!$E$22</definedName>
    <definedName name="nrResultElec">' Elec &amp; Natural Gas'!$E$12</definedName>
    <definedName name="nrResultElecBase">' Elec &amp; Natural Gas'!$D$11</definedName>
    <definedName name="nrResultElecMit">' Elec &amp; Natural Gas'!$J$12</definedName>
    <definedName name="nrResultGas">' Elec &amp; Natural Gas'!$E$20</definedName>
    <definedName name="nrResultGasBase">' Elec &amp; Natural Gas'!$D$19</definedName>
    <definedName name="nrResultGasMit">' Elec &amp; Natural Gas'!$J$20</definedName>
    <definedName name="nrResultOffRoad">'Off-Road Equip'!$N$13</definedName>
    <definedName name="nrResultOffRoadBase">'Off-Road Equip'!$M$12</definedName>
    <definedName name="nrResultOffsets">'Mitigation'!$J$18</definedName>
    <definedName name="nrResultRefrigerant">'Refrigerants'!$G$11</definedName>
    <definedName name="nrResultRefrigerantBase">'Refrigerants'!$F$10</definedName>
    <definedName name="nrResultRefrigerantMit">'Refrigerants'!$M$11</definedName>
    <definedName name="nrResultSequester">'Sequestration'!$F$6</definedName>
    <definedName name="nrResultSolidWaste">'Solid Waste'!$E$13</definedName>
    <definedName name="nrResultSolidWasteBase">'Solid Waste'!$D$12</definedName>
    <definedName name="nrResultSolidWasteMit">'Solid Waste'!$K$13</definedName>
    <definedName name="nrResultTranMit">'Transportation'!$K$18</definedName>
    <definedName name="nrResultTransBase">'Transportation'!$D$17</definedName>
    <definedName name="nrResultTransUnMit">'Transportation'!$E$18</definedName>
    <definedName name="nrResultWater">'Water &amp; Wastewater'!$E$12</definedName>
    <definedName name="nrResultWaterBase">'Water &amp; Wastewater'!$D$11</definedName>
    <definedName name="nrResultWaterMit">'Water &amp; Wastewater'!$J$12</definedName>
    <definedName name="nrSingleFamilysize">'Water &amp; Wastewater'!$B$23</definedName>
    <definedName name="nrSqFtPerEmployee">'Water &amp; Wastewater'!$E$22:$H$32</definedName>
    <definedName name="nrSummaryUseUnMit">'Hidden Lists'!$B$36</definedName>
    <definedName name="nrSummaryUseUnMitArea">'Hidden Lists'!$B$37</definedName>
    <definedName name="nrSWBaseline">'Solid Waste'!$I$22:$I$23</definedName>
    <definedName name="nrSWBaseTonsNonres">'Solid Waste'!$F$80:$F$122</definedName>
    <definedName name="nrSWBaseTonsRes">'Solid Waste'!$F$77:$F$78</definedName>
    <definedName name="nrSWProject">'Solid Waste'!$D$22:$D$23</definedName>
    <definedName name="nrSWUrbTonsNonres">'Solid Waste'!$F$31:$F$73</definedName>
    <definedName name="nrSWUrbTonsRes">'Solid Waste'!$F$28:$F$29</definedName>
    <definedName name="nrTotalTripsMit">'Land Use Detail'!$I$4</definedName>
    <definedName name="nrTotalTripsUnMit">'Land Use Detail'!$F$4</definedName>
    <definedName name="nrTotalVMTMit">'Land Use Detail'!$J$4</definedName>
    <definedName name="nrTotalVMTUnMit">'Land Use Detail'!$G$4</definedName>
    <definedName name="nrTripRateMit">'Land Use Detail'!$H$4</definedName>
    <definedName name="nrTripRateUnMit">'Land Use Detail'!$E$4</definedName>
    <definedName name="nrUrbFileName">'Settings'!$N$7</definedName>
    <definedName name="nrUrbFireplaceUsage">'Hidden Lists'!$B$24</definedName>
    <definedName name="nrUrbGasFireplaceUsage">'Hidden Lists'!$B$25</definedName>
    <definedName name="nrUrbHearthMit">'Hidden Lists'!$B$14</definedName>
    <definedName name="nrUrbHearthUnMit">'Hidden Lists'!$B$11</definedName>
    <definedName name="nrUrbLandscapeMit">'Hidden Lists'!$B$15</definedName>
    <definedName name="nrUrbLandscapeUnMit">'Hidden Lists'!$B$12</definedName>
    <definedName name="nrUrbLandUseSqFt">'Hidden Lists'!$B$45:$BZ$45</definedName>
    <definedName name="nrUrbMultiFamilyUnits">'Hidden Lists'!$B$48</definedName>
    <definedName name="nrUrbOpVehTPYMit">'Hidden Lists'!$B$5:$Q$5</definedName>
    <definedName name="nrUrbOpVehTPYUnMit">'Hidden Lists'!$B$4:$Q$4</definedName>
    <definedName name="nrUrbSingleFamilyUnits">'Hidden Lists'!$B$47</definedName>
    <definedName name="nrUrbWoodStoveUsage">'Hidden Lists'!$B$23</definedName>
    <definedName name="nrUseBaseline">'Hidden Lists'!$B$31</definedName>
    <definedName name="nrWaterIndoorOutdoorUse">'Water &amp; Wastewater'!$B$66:$E$95</definedName>
    <definedName name="nrWaterUse">'Water &amp; Wastewater'!$B$100:$E$129</definedName>
    <definedName name="nrWWAFPerYear">'Water &amp; Wastewater'!$C$16:$C$18</definedName>
    <definedName name="nrWWEducation">'Water &amp; Wastewater'!$H$27</definedName>
    <definedName name="nrWWFoodSales">'Water &amp; Wastewater'!$H$25</definedName>
    <definedName name="nrWWFoodService">'Water &amp; Wastewater'!$H$29</definedName>
    <definedName name="nrWWHealthCare">'Water &amp; Wastewater'!$H$31</definedName>
    <definedName name="nrWWLodging">'Water &amp; Wastewater'!$H$24</definedName>
    <definedName name="nrWWOffice">'Water &amp; Wastewater'!$H$32</definedName>
    <definedName name="nrWWOther">'Water &amp; Wastewater'!$H$30</definedName>
    <definedName name="nrWWPublicAssembly">'Water &amp; Wastewater'!$H$23</definedName>
    <definedName name="nrWWPublicOrder">'Water &amp; Wastewater'!$H$28</definedName>
    <definedName name="nrWWRetailAndService">'Water &amp; Wastewater'!$H$26</definedName>
    <definedName name="nrWWWarehouse">'Water &amp; Wastewater'!$H$22</definedName>
  </definedNames>
  <calcPr fullCalcOnLoad="1"/>
</workbook>
</file>

<file path=xl/sharedStrings.xml><?xml version="1.0" encoding="utf-8"?>
<sst xmlns="http://schemas.openxmlformats.org/spreadsheetml/2006/main" count="4109" uniqueCount="769">
  <si>
    <t/>
  </si>
  <si>
    <t>Open an Urbemis Project File</t>
  </si>
  <si>
    <t xml:space="preserve">Step 1:  Click the Browse button to find the file: </t>
  </si>
  <si>
    <t>The Urbemis Project File Has Been Changed</t>
  </si>
  <si>
    <t>LINKS</t>
  </si>
  <si>
    <t>Summary Results</t>
  </si>
  <si>
    <t>Transportation</t>
  </si>
  <si>
    <t>Area Source</t>
  </si>
  <si>
    <t>Electricity</t>
  </si>
  <si>
    <t>Solid Waste</t>
  </si>
  <si>
    <t>Agriculture</t>
  </si>
  <si>
    <t>Carbon Sequestration</t>
  </si>
  <si>
    <t>Water and Wastewater</t>
  </si>
  <si>
    <t>Help</t>
  </si>
  <si>
    <t>Settings</t>
  </si>
  <si>
    <t>ROG</t>
  </si>
  <si>
    <t>NOX</t>
  </si>
  <si>
    <t>CO</t>
  </si>
  <si>
    <t>SO2</t>
  </si>
  <si>
    <t>PM10Tot</t>
  </si>
  <si>
    <t>PM25Tot</t>
  </si>
  <si>
    <t>CO2</t>
  </si>
  <si>
    <t>PM10Exh</t>
  </si>
  <si>
    <t>PM10Dust</t>
  </si>
  <si>
    <t>PM25Exh</t>
  </si>
  <si>
    <t>PM25Dust</t>
  </si>
  <si>
    <t>Benzene</t>
  </si>
  <si>
    <t>Butadiene</t>
  </si>
  <si>
    <t>Acetaldehyde</t>
  </si>
  <si>
    <t>Formaldehyde</t>
  </si>
  <si>
    <t>PM10Diesel</t>
  </si>
  <si>
    <t>Establish a Baseline Run for Comparison</t>
  </si>
  <si>
    <t>make an Urbemis run and import the results:</t>
  </si>
  <si>
    <t xml:space="preserve">Step 1:  Make sure the directory path and </t>
  </si>
  <si>
    <t>file name are correct in the Project File Name field.</t>
  </si>
  <si>
    <t>Step 1:  Click the Browse button to find the Urbemis</t>
  </si>
  <si>
    <t xml:space="preserve"> Project File representing the baseline:    </t>
  </si>
  <si>
    <t xml:space="preserve">baseline project data, make an Urbemis </t>
  </si>
  <si>
    <t>run and import the results:</t>
  </si>
  <si>
    <t>Current Project File Name</t>
  </si>
  <si>
    <t>Baseline Project File Name</t>
  </si>
  <si>
    <t>Project Data Last Refreshed On:</t>
  </si>
  <si>
    <t>Baseline Data Last Refreshed On:</t>
  </si>
  <si>
    <t>Change the Emfac Data Location</t>
  </si>
  <si>
    <t>Emfac data files are stored, by default, in a directory</t>
  </si>
  <si>
    <t>Microsoft calls Common Application Data.</t>
  </si>
  <si>
    <t>If the Emfac files cannot be found, use the Browse</t>
  </si>
  <si>
    <t>button to find the databases:</t>
  </si>
  <si>
    <t>Emfac Database Location</t>
  </si>
  <si>
    <t>nrUrbOpVehTPYUnMit</t>
  </si>
  <si>
    <t>nrUrbOpVehTPYMit</t>
  </si>
  <si>
    <t>nrBaseOpVehTPYUnMit</t>
  </si>
  <si>
    <t>nrBaseOpVehTPYMit</t>
  </si>
  <si>
    <t>nrUseBaseline</t>
  </si>
  <si>
    <t>Unmitigated</t>
  </si>
  <si>
    <t>Mitigated</t>
  </si>
  <si>
    <t>Year</t>
  </si>
  <si>
    <t xml:space="preserve">Operational Mitigation Residential </t>
  </si>
  <si>
    <t>Transportation Detail for Operational Mitigation</t>
  </si>
  <si>
    <t>Operational NonResidential Mitigation</t>
  </si>
  <si>
    <t>Operational Annual Miscellaneous Detail</t>
  </si>
  <si>
    <t>Land Use Detail</t>
  </si>
  <si>
    <t>Land Use Description</t>
  </si>
  <si>
    <t>Units</t>
  </si>
  <si>
    <t>UnitType</t>
  </si>
  <si>
    <t>Trip Rate Unmitigated</t>
  </si>
  <si>
    <t>Total Trips Unmitigated</t>
  </si>
  <si>
    <t>Acreage</t>
  </si>
  <si>
    <t>Total VMT Unmitigated</t>
  </si>
  <si>
    <t>Trip Rate Mitigated</t>
  </si>
  <si>
    <t>Total Trips Mitigated</t>
  </si>
  <si>
    <t>Total VMT Mitigated</t>
  </si>
  <si>
    <t>nrMaxTranDetailRows</t>
  </si>
  <si>
    <t>nrMaxLandUseRows</t>
  </si>
  <si>
    <t>nrMaxVehicleRows</t>
  </si>
  <si>
    <t>nrMaxTravelRows</t>
  </si>
  <si>
    <t>Reference</t>
  </si>
  <si>
    <t>U.S. EPA assumption that GHG emissions from other pollutants - CH4, N20, and hydrofluorcarbons (HFCs) from leaking air conditioners account for 5 percent of emissions from vehicles, after accounting for global warming potentail of each GHG.</t>
  </si>
  <si>
    <t>Don't Need to Adjust this amt</t>
  </si>
  <si>
    <t>Unadjusted Amount Affected by Pavley</t>
  </si>
  <si>
    <t>Adjusted</t>
  </si>
  <si>
    <t>Adusted</t>
  </si>
  <si>
    <t>Not Affected by Pavley</t>
  </si>
  <si>
    <t>LDA/ LDT1/ LDT2/ MDV</t>
  </si>
  <si>
    <t>LDA</t>
  </si>
  <si>
    <t>LDT1</t>
  </si>
  <si>
    <t>LDT2</t>
  </si>
  <si>
    <t>MDV</t>
  </si>
  <si>
    <t>4 totaled</t>
  </si>
  <si>
    <t>Pavley Adjustment</t>
  </si>
  <si>
    <t>% LDA CO2 Emissions</t>
  </si>
  <si>
    <t>% LDT1 CO2 Emissions</t>
  </si>
  <si>
    <t>% LDT2 CO2 Emissions</t>
  </si>
  <si>
    <t>% MDV CO2 Emissions</t>
  </si>
  <si>
    <t>% LDA/LDT1/LDT2/MDV</t>
  </si>
  <si>
    <t>% everything else</t>
  </si>
  <si>
    <t>% CO2 Reduction - LDA</t>
  </si>
  <si>
    <t>% CO2 Reduction - LDT1</t>
  </si>
  <si>
    <t>% CO2 Reduction - LDT2</t>
  </si>
  <si>
    <t>% CO2 Reduction MDV</t>
  </si>
  <si>
    <t>Step 1 - Figure out year</t>
  </si>
  <si>
    <t>Step 2- Emissions from HDVs, etc. do not change</t>
  </si>
  <si>
    <t>Step 3 - Adjust emissions from LDA's, etc. individually</t>
  </si>
  <si>
    <t>Step 4 - Add Step 2 and Step 3 emissions</t>
  </si>
  <si>
    <t>Low Carbon Fuels Standards</t>
  </si>
  <si>
    <t>% Reduction Gasoline and Diesel Fuel</t>
  </si>
  <si>
    <t xml:space="preserve">Source: </t>
  </si>
  <si>
    <t>Final Regulation Order</t>
  </si>
  <si>
    <t>Subchapter 10. Climate Change</t>
  </si>
  <si>
    <t>Article 4. Regulations to Achieve Greenhouse Gas Reductions</t>
  </si>
  <si>
    <t>Subarticle 7. Low Carbon Fuel Standard</t>
  </si>
  <si>
    <t xml:space="preserve">Section 95482. Average Carbon Intensity Requirements for Gasoline and Diesel </t>
  </si>
  <si>
    <t xml:space="preserve">Target Year:  </t>
  </si>
  <si>
    <t>Project</t>
  </si>
  <si>
    <t>Baseline</t>
  </si>
  <si>
    <t>Pavley Calculations - Project Unmitigated</t>
  </si>
  <si>
    <t>Pavley Calculations - Baseline Unmitigated</t>
  </si>
  <si>
    <t>Pavley Calculations - Project Mitigated</t>
  </si>
  <si>
    <t>Pavley Calculations - Baseline Mitigated</t>
  </si>
  <si>
    <t>Project-Baseline</t>
  </si>
  <si>
    <t>Results</t>
  </si>
  <si>
    <t>nrSummaryUseUnMit</t>
  </si>
  <si>
    <t>nrUrbHearthUnMit</t>
  </si>
  <si>
    <t>nrUrbLandscapeUnMit</t>
  </si>
  <si>
    <t>nrUrbHearthMit</t>
  </si>
  <si>
    <t>nrUrbLandscapeMit</t>
  </si>
  <si>
    <t>nrBaseHearthUnMit</t>
  </si>
  <si>
    <t>nrBaseLandscapeMit</t>
  </si>
  <si>
    <t>nrBaseLandscapeUnMit</t>
  </si>
  <si>
    <t>nrBaseHearthMit</t>
  </si>
  <si>
    <t>nrUrbWoodStoveUsage</t>
  </si>
  <si>
    <t>nrUrbFireplaceUsage</t>
  </si>
  <si>
    <t>nrUrbGasFireplaceUsage</t>
  </si>
  <si>
    <t>nrBaseWoodStoveUsage</t>
  </si>
  <si>
    <t>nrBaseFireplaceUsage</t>
  </si>
  <si>
    <t>nrBaseGasFireplaceUsage</t>
  </si>
  <si>
    <t>Total:</t>
  </si>
  <si>
    <t>nrSummaryUseUnMitArea</t>
  </si>
  <si>
    <t>Transportation:</t>
  </si>
  <si>
    <t>Area Source:</t>
  </si>
  <si>
    <t>Electricity:</t>
  </si>
  <si>
    <t>Solid Waste:</t>
  </si>
  <si>
    <t>nrMetricTonAdj</t>
  </si>
  <si>
    <t>nrPoundsInMetricTon</t>
  </si>
  <si>
    <t>Manufacturing</t>
  </si>
  <si>
    <t>Industrial Park</t>
  </si>
  <si>
    <t>General Heavy Industry</t>
  </si>
  <si>
    <t>General Light Industry</t>
  </si>
  <si>
    <t>Warehouse</t>
  </si>
  <si>
    <t>Hospital</t>
  </si>
  <si>
    <t>Medical Office Building</t>
  </si>
  <si>
    <t>Pharmacy w/o Drive Through</t>
  </si>
  <si>
    <t>Pharmacy w/Drive Through</t>
  </si>
  <si>
    <t>Government Civic Center</t>
  </si>
  <si>
    <t>Government Office Building</t>
  </si>
  <si>
    <t>Office Park</t>
  </si>
  <si>
    <t>General Office Building</t>
  </si>
  <si>
    <t>Bank w/Drive Through</t>
  </si>
  <si>
    <t>Gasoline Service Station</t>
  </si>
  <si>
    <t>Convenience Market w/gas pumps</t>
  </si>
  <si>
    <t>Convenience Market</t>
  </si>
  <si>
    <t>Supermarket</t>
  </si>
  <si>
    <t>Hardware/Paint Store</t>
  </si>
  <si>
    <t>Strip Mall</t>
  </si>
  <si>
    <t>Home Improvement Superstore</t>
  </si>
  <si>
    <t>#/mwh</t>
  </si>
  <si>
    <t>Electronic Superstore</t>
  </si>
  <si>
    <t>from California Climate Action Registry, 2009</t>
  </si>
  <si>
    <t>Regional Shopping Center</t>
  </si>
  <si>
    <t>N2O</t>
  </si>
  <si>
    <t>CH4</t>
  </si>
  <si>
    <t>Greenhouse Gas Emission Factors</t>
  </si>
  <si>
    <t>Discount Club</t>
  </si>
  <si>
    <t>Free-Standing Discount Superstore</t>
  </si>
  <si>
    <t>Free-Standing Discount Store</t>
  </si>
  <si>
    <t>Total</t>
  </si>
  <si>
    <t>Motel</t>
  </si>
  <si>
    <t xml:space="preserve"> </t>
  </si>
  <si>
    <t>Hotel</t>
  </si>
  <si>
    <t>Fast Food w/o Drive Through</t>
  </si>
  <si>
    <t>Fast Food w/Drive Through</t>
  </si>
  <si>
    <t>http://www.eia.doe.gov/emeu/consumptionbriefs/cbecs/pbawebsite/office/office_howmanyempl.htm</t>
  </si>
  <si>
    <t>Mitigation Options</t>
  </si>
  <si>
    <t>High Turnover/Sit-Down Restaurant</t>
  </si>
  <si>
    <t>Quality Restaurant</t>
  </si>
  <si>
    <t>kwh/year</t>
  </si>
  <si>
    <t>Racquetball/Health</t>
  </si>
  <si>
    <t>Energy Information Administration Special Topics 1995 Building Activities Other, Square feet per employee.</t>
  </si>
  <si>
    <t>Racquet Club</t>
  </si>
  <si>
    <t>Office</t>
  </si>
  <si>
    <t>City Park</t>
  </si>
  <si>
    <t>Health Care</t>
  </si>
  <si>
    <t>from Navigant, 2006</t>
  </si>
  <si>
    <t>Place of Worship</t>
  </si>
  <si>
    <t>Other</t>
  </si>
  <si>
    <t>Library</t>
  </si>
  <si>
    <t>Food Service</t>
  </si>
  <si>
    <t>University/College</t>
  </si>
  <si>
    <t>Public Order and Safety</t>
  </si>
  <si>
    <t>Junior College</t>
  </si>
  <si>
    <t>Education</t>
  </si>
  <si>
    <t>High School</t>
  </si>
  <si>
    <t>Retail and Service</t>
  </si>
  <si>
    <t>Junior High School</t>
  </si>
  <si>
    <t>Food Sales</t>
  </si>
  <si>
    <t>% outdoor water use</t>
  </si>
  <si>
    <t>Elementary School</t>
  </si>
  <si>
    <t>Lodging</t>
  </si>
  <si>
    <t>% indoor water use</t>
  </si>
  <si>
    <t>Day-Care Center</t>
  </si>
  <si>
    <t>Public Assembly</t>
  </si>
  <si>
    <t>Projected Water use (gallons/yr)</t>
  </si>
  <si>
    <t>Square Feet</t>
  </si>
  <si>
    <t>Square feet per employee</t>
  </si>
  <si>
    <t>Net Increase in Water Demand</t>
  </si>
  <si>
    <t>San Francisco PUC Wholesale Customer Water Demand Projections Technical Report, Prepared by URS Corporation and Maddaeus Water Management, November 2004.  Tables 3-2 and 5-2</t>
  </si>
  <si>
    <t>Multi-family</t>
  </si>
  <si>
    <t>Single Family</t>
  </si>
  <si>
    <t>Outdoor</t>
  </si>
  <si>
    <t>Indoor</t>
  </si>
  <si>
    <t>Model Estimate (af/yr)</t>
  </si>
  <si>
    <t>User Override of Model Estimates (af/yr)</t>
  </si>
  <si>
    <t>Houshold Size</t>
  </si>
  <si>
    <t xml:space="preserve">Water Use </t>
  </si>
  <si>
    <t>Indoor vs. Outdoor Water Use</t>
  </si>
  <si>
    <t>Single Family (gallons a day/ capita)</t>
  </si>
  <si>
    <t>Multi-family (gallons a day/ capita)</t>
  </si>
  <si>
    <t>Non-Res (gallons a day/ employee)</t>
  </si>
  <si>
    <t>LU Type</t>
  </si>
  <si>
    <t>Baseline Water Demand</t>
  </si>
  <si>
    <t>Project Water Demand</t>
  </si>
  <si>
    <t>Baseline Demand - Indoor</t>
  </si>
  <si>
    <t>Baseline Demand - Outdoor</t>
  </si>
  <si>
    <t>Project Water Demand - Indoor</t>
  </si>
  <si>
    <t>Project Water Demand - Outdoor</t>
  </si>
  <si>
    <t>Gallons Per Acre Foot:</t>
  </si>
  <si>
    <t>nrBaselineYear</t>
  </si>
  <si>
    <t>nrProjectYear</t>
  </si>
  <si>
    <t>Target Year:</t>
  </si>
  <si>
    <t>Land Use Type</t>
  </si>
  <si>
    <t>Single Family Residential</t>
  </si>
  <si>
    <t>Multi-family Residential</t>
  </si>
  <si>
    <t>nrLandUseDesc</t>
  </si>
  <si>
    <t>nrUrbLandUseSqFt</t>
  </si>
  <si>
    <t>nrBaseLandUseSqFt</t>
  </si>
  <si>
    <t>nrUrbSingleFamilyUnits</t>
  </si>
  <si>
    <t>nrUrbMultiFamilyUnits</t>
  </si>
  <si>
    <t>nrBaseSingleFamilyUnits</t>
  </si>
  <si>
    <t>nrBaseMultiFamilyUnits</t>
  </si>
  <si>
    <t>Day-care center</t>
  </si>
  <si>
    <t>Elementary school</t>
  </si>
  <si>
    <t>Junior high school</t>
  </si>
  <si>
    <t>High school</t>
  </si>
  <si>
    <t>Junior college (2 yrs)</t>
  </si>
  <si>
    <t>University/college (4 yrs)</t>
  </si>
  <si>
    <t>Place of worship</t>
  </si>
  <si>
    <t>City park</t>
  </si>
  <si>
    <t>Racquet club</t>
  </si>
  <si>
    <t>Racquetball/health</t>
  </si>
  <si>
    <t>Quality resturant</t>
  </si>
  <si>
    <t>High turnover (sit-down) rest.</t>
  </si>
  <si>
    <t>Fast food rest. w/ drive thru</t>
  </si>
  <si>
    <t>Fast food rest. w/o drive thru</t>
  </si>
  <si>
    <t>Free-standing discount store</t>
  </si>
  <si>
    <t>Free-standing discount superstore</t>
  </si>
  <si>
    <t>Discount club</t>
  </si>
  <si>
    <t>Regnl shop. center</t>
  </si>
  <si>
    <t>Electronic superstore</t>
  </si>
  <si>
    <t>Home improvement superstore</t>
  </si>
  <si>
    <t>Strip mall</t>
  </si>
  <si>
    <t>Hardware/paint store</t>
  </si>
  <si>
    <t>Convenience market (24 hour)</t>
  </si>
  <si>
    <t>Convenience market with gas pumps</t>
  </si>
  <si>
    <t>Gasoline/service station</t>
  </si>
  <si>
    <t>Bank (with drive-through)</t>
  </si>
  <si>
    <t>General office building</t>
  </si>
  <si>
    <t>Office park</t>
  </si>
  <si>
    <t>Goverment office building</t>
  </si>
  <si>
    <t>Government (civic center)</t>
  </si>
  <si>
    <t>Pharmacy/drugstore with drive through</t>
  </si>
  <si>
    <t>Pharmacy/drugstore without drive through</t>
  </si>
  <si>
    <t>Medical office building</t>
  </si>
  <si>
    <t>General light industry</t>
  </si>
  <si>
    <t>General heavy industry</t>
  </si>
  <si>
    <t>Industrial park</t>
  </si>
  <si>
    <t>Blank (Edit this description)</t>
  </si>
  <si>
    <t>CO2 metric tons/year:</t>
  </si>
  <si>
    <t>CH4 metric tons/year:</t>
  </si>
  <si>
    <t>N20 metric tons/year:</t>
  </si>
  <si>
    <t>CO2e metric tons/year:</t>
  </si>
  <si>
    <t>Water &amp; Wastewater:</t>
  </si>
  <si>
    <t>Summary</t>
  </si>
  <si>
    <t>Natural Gas</t>
  </si>
  <si>
    <t>Square Footage (1,000) from URBEMIS</t>
  </si>
  <si>
    <t>Estimated Electricty Use/Year (Megawatt-hours)</t>
  </si>
  <si>
    <t>User Override of Electricity Use/Year (Megawatt-hours)</t>
  </si>
  <si>
    <t>CO2 (metric tons/yr)</t>
  </si>
  <si>
    <t>CH4 (metric tons/yr)</t>
  </si>
  <si>
    <t>N2O (metric tons/yr)</t>
  </si>
  <si>
    <t>Estimated Natural Gas  Use/Year (MM Btu)</t>
  </si>
  <si>
    <t>User Override of Natural Gas Use (MM Btu/Year)</t>
  </si>
  <si>
    <t xml:space="preserve">Source: Climate Action Registry General Reporting Protocol, Version 3.1, January, 2009. </t>
  </si>
  <si>
    <t>lbs CO2/mwh</t>
  </si>
  <si>
    <t>lbs CH4/mwh</t>
  </si>
  <si>
    <t>lbs N20/MWH</t>
  </si>
  <si>
    <t>CO2 (kg CO2/MMBtu)</t>
  </si>
  <si>
    <t>CH4 (kg/MMBtu)</t>
  </si>
  <si>
    <t>N2O(kg/MMBtu)</t>
  </si>
  <si>
    <t>Climate Zone 4 Summary</t>
  </si>
  <si>
    <t>Climate Zone 5 Summary</t>
  </si>
  <si>
    <t>Electric (kwh/sf)</t>
  </si>
  <si>
    <t>Natural Gas (MM Btu/sf)</t>
  </si>
  <si>
    <t>All Commercial</t>
  </si>
  <si>
    <t>Small Office (&lt;30,000 sf)</t>
  </si>
  <si>
    <t>Large Office (&gt;= 30,000 sf)</t>
  </si>
  <si>
    <t>Restaurant</t>
  </si>
  <si>
    <t>Retail</t>
  </si>
  <si>
    <t>Food Store</t>
  </si>
  <si>
    <t>Refrigerated Warehouse</t>
  </si>
  <si>
    <t>Unrefrigerated Warehouse</t>
  </si>
  <si>
    <t>School</t>
  </si>
  <si>
    <t>College</t>
  </si>
  <si>
    <t>Health</t>
  </si>
  <si>
    <t>Miscellaneous</t>
  </si>
  <si>
    <t>All Offices</t>
  </si>
  <si>
    <t>All Warehouses</t>
  </si>
  <si>
    <t>Project Climate Zone Location:</t>
  </si>
  <si>
    <t>Climate Zone From Buttons</t>
  </si>
  <si>
    <t>nrClimateZone</t>
  </si>
  <si>
    <t>Electricity and Natural Gas</t>
  </si>
  <si>
    <t>Natural Gas:</t>
  </si>
  <si>
    <t>PROJECT Nonresidential:</t>
  </si>
  <si>
    <t>PROJECT Residential:</t>
  </si>
  <si>
    <t>Number of units (from URBEMIS)</t>
  </si>
  <si>
    <t>Total Residential Electricity Use (mwh /year)</t>
  </si>
  <si>
    <t>User Override of Residential Electricity Use (mwh/year)</t>
  </si>
  <si>
    <t>CO2 (metric tons/year)</t>
  </si>
  <si>
    <t>N20 (metric tons/yr)</t>
  </si>
  <si>
    <t>Estimated Natural Gas use (MM Btu/year)</t>
  </si>
  <si>
    <t>User Override of Natural Gas Use (MM Btu/year)</t>
  </si>
  <si>
    <t>Multi Family Residential</t>
  </si>
  <si>
    <t>Residential Energy Use from California Statewide Residential Appliance Saturation Study, Tables 2-9, 2-13,2-15,2-4,2-5,2-23,2-24</t>
  </si>
  <si>
    <t>See also Executive Summary for Natural Gas Use by Building Age</t>
  </si>
  <si>
    <t>BASELINE Residential:</t>
  </si>
  <si>
    <t>BASELINE Nonresidential:</t>
  </si>
  <si>
    <t>From URBEMIS:  Baseline Data</t>
  </si>
  <si>
    <t>From URBEMIS:  Project Data</t>
  </si>
  <si>
    <t>Defaults</t>
  </si>
  <si>
    <t>User Override</t>
  </si>
  <si>
    <t>Estimated Solid Waste Generation Rate (tons/residence/yr)</t>
  </si>
  <si>
    <t>Estimated Solid Waste Generation/Year (tons)</t>
  </si>
  <si>
    <t>User Override of Solid Waste Generated/Year (tons)</t>
  </si>
  <si>
    <t>CO2e (metric tons/year)</t>
  </si>
  <si>
    <t>Multi-Family Residential</t>
  </si>
  <si>
    <t>Estimated Solid Waste Generation Rate (tons/sf/yr)</t>
  </si>
  <si>
    <t>WARM Emission Factors</t>
  </si>
  <si>
    <t>Landfilling, No Recovery</t>
  </si>
  <si>
    <t>Landfilling w/Flaring</t>
  </si>
  <si>
    <t>Landfilling w/Energy Recovery</t>
  </si>
  <si>
    <t>Mixed Solid Waste</t>
  </si>
  <si>
    <t>Emissions (from EMFAC2007, 35 mph for Heavy-Heavy Duty Trucks</t>
  </si>
  <si>
    <t>CO2 (grams/mile)</t>
  </si>
  <si>
    <t>CH4 (grams/mile)</t>
  </si>
  <si>
    <t>Project - Baseline</t>
  </si>
  <si>
    <t>Average Round Trip Truck Haul Distance (miles):</t>
  </si>
  <si>
    <t>Solid Waste Truck Capacity (tons):</t>
  </si>
  <si>
    <t>Round Trips/Year:</t>
  </si>
  <si>
    <t>Miles per Year:</t>
  </si>
  <si>
    <t>nrProjectLandfillOption</t>
  </si>
  <si>
    <t>nrBaselineLandfillOption</t>
  </si>
  <si>
    <t>Land Use Residential</t>
  </si>
  <si>
    <t>Land Use Nonresidential</t>
  </si>
  <si>
    <t>Project Landfill disposal option:</t>
  </si>
  <si>
    <t>Baseline Landfill disposal option:</t>
  </si>
  <si>
    <r>
      <rPr>
        <b/>
        <sz val="11"/>
        <color indexed="8"/>
        <rFont val="Calibri"/>
        <family val="2"/>
      </rPr>
      <t>PROJECT</t>
    </r>
    <r>
      <rPr>
        <sz val="11"/>
        <color indexed="8"/>
        <rFont val="Calibri"/>
        <family val="2"/>
      </rPr>
      <t xml:space="preserve"> Residential Land Use (From URBEMIS)</t>
    </r>
  </si>
  <si>
    <r>
      <rPr>
        <b/>
        <sz val="11"/>
        <color indexed="8"/>
        <rFont val="Calibri"/>
        <family val="2"/>
      </rPr>
      <t>PROJECT</t>
    </r>
    <r>
      <rPr>
        <sz val="11"/>
        <color indexed="8"/>
        <rFont val="Calibri"/>
        <family val="2"/>
      </rPr>
      <t xml:space="preserve"> Nonresidential Land Use (From URBEMIS)</t>
    </r>
  </si>
  <si>
    <r>
      <rPr>
        <b/>
        <sz val="11"/>
        <color indexed="8"/>
        <rFont val="Calibri"/>
        <family val="2"/>
      </rPr>
      <t>BASELINE</t>
    </r>
    <r>
      <rPr>
        <sz val="11"/>
        <color indexed="8"/>
        <rFont val="Calibri"/>
        <family val="2"/>
      </rPr>
      <t xml:space="preserve"> Residential Land Use (From URBEMIS)</t>
    </r>
  </si>
  <si>
    <r>
      <rPr>
        <b/>
        <sz val="11"/>
        <color indexed="8"/>
        <rFont val="Calibri"/>
        <family val="2"/>
      </rPr>
      <t>BASELINE</t>
    </r>
    <r>
      <rPr>
        <sz val="11"/>
        <color indexed="8"/>
        <rFont val="Calibri"/>
        <family val="2"/>
      </rPr>
      <t xml:space="preserve"> Nonresidential Land Use (From URBEMIS)</t>
    </r>
  </si>
  <si>
    <t>Enteric Fermentation Methane Emissions (metric tons/year)</t>
  </si>
  <si>
    <t>Manure Emission Rates (metric tons methane per year)</t>
  </si>
  <si>
    <t>Manure Emission Rates (metric tons N2O/year)</t>
  </si>
  <si>
    <t>Animal Type</t>
  </si>
  <si>
    <t>Enteric Fermentation Emission Rates (metric tons CH4/head/yr)</t>
  </si>
  <si>
    <t>Manure Emission Rates (metric tons CH4/head/yr)</t>
  </si>
  <si>
    <t>Manure Emission Rates (metric tons N2O/head/yr)</t>
  </si>
  <si>
    <t>Beef Cattle</t>
  </si>
  <si>
    <t>Beef Replacement Heifers</t>
  </si>
  <si>
    <t>Steers</t>
  </si>
  <si>
    <t>Bulls</t>
  </si>
  <si>
    <t>Milk Cows</t>
  </si>
  <si>
    <t>Dry Cows</t>
  </si>
  <si>
    <t>Heifers, 15-24 months</t>
  </si>
  <si>
    <t>Heifers, 7-14 months</t>
  </si>
  <si>
    <t>Heifers, 4-6 months</t>
  </si>
  <si>
    <t>Calves</t>
  </si>
  <si>
    <t>Chickens (fryers)</t>
  </si>
  <si>
    <t>Goats, Hogs, Pigs</t>
  </si>
  <si>
    <t>Sheeps and Lambs</t>
  </si>
  <si>
    <t>Turkeys</t>
  </si>
  <si>
    <t>Totals</t>
  </si>
  <si>
    <t>Table C.3, CCAR</t>
  </si>
  <si>
    <t>Table c.6, CCAR</t>
  </si>
  <si>
    <t>Table C.6, CCAR</t>
  </si>
  <si>
    <t>CO2e (metric tons/year</t>
  </si>
  <si>
    <t>kg/gallon</t>
  </si>
  <si>
    <t>grams/gallon</t>
  </si>
  <si>
    <t>Gasoline</t>
  </si>
  <si>
    <t>Diesel Fuel</t>
  </si>
  <si>
    <t>Propane</t>
  </si>
  <si>
    <t>Table C.7, CCAR</t>
  </si>
  <si>
    <t>Table C.9, CCAR</t>
  </si>
  <si>
    <t>Table E.1, CCAR CAMX (#/MWh)</t>
  </si>
  <si>
    <t>Table E.2, CCAR (#/MWh)</t>
  </si>
  <si>
    <t>Table E.2, CCAR(#,MWh)</t>
  </si>
  <si>
    <t>Electricity Consumption (kwh/year)</t>
  </si>
  <si>
    <t>Tons/year</t>
  </si>
  <si>
    <t>Fertilzer Used (tons/year)</t>
  </si>
  <si>
    <t>metric tons N2O per ton organic and synthetic fertilzers applied</t>
  </si>
  <si>
    <t>Note:  GHG emissions associated with water use assumed to be accounted for in the fuel and electricity consumption.</t>
  </si>
  <si>
    <r>
      <rPr>
        <b/>
        <sz val="11"/>
        <color indexed="8"/>
        <rFont val="Calibri"/>
        <family val="2"/>
      </rPr>
      <t>PROJECT</t>
    </r>
    <r>
      <rPr>
        <sz val="11"/>
        <color indexed="8"/>
        <rFont val="Calibri"/>
        <family val="2"/>
      </rPr>
      <t xml:space="preserve"> Animals</t>
    </r>
  </si>
  <si>
    <r>
      <rPr>
        <b/>
        <sz val="11"/>
        <color indexed="8"/>
        <rFont val="Calibri"/>
        <family val="2"/>
      </rPr>
      <t>PROJECT</t>
    </r>
    <r>
      <rPr>
        <sz val="11"/>
        <color indexed="8"/>
        <rFont val="Calibri"/>
        <family val="2"/>
      </rPr>
      <t xml:space="preserve"> Agricultural Equipment</t>
    </r>
  </si>
  <si>
    <r>
      <rPr>
        <b/>
        <sz val="11"/>
        <color indexed="8"/>
        <rFont val="Calibri"/>
        <family val="2"/>
      </rPr>
      <t>PROJECT</t>
    </r>
    <r>
      <rPr>
        <sz val="11"/>
        <color indexed="8"/>
        <rFont val="Calibri"/>
        <family val="2"/>
      </rPr>
      <t xml:space="preserve"> Stationary Combustion</t>
    </r>
  </si>
  <si>
    <r>
      <rPr>
        <b/>
        <sz val="11"/>
        <color indexed="8"/>
        <rFont val="Calibri"/>
        <family val="2"/>
      </rPr>
      <t>PROJECT</t>
    </r>
    <r>
      <rPr>
        <sz val="11"/>
        <color indexed="8"/>
        <rFont val="Calibri"/>
        <family val="2"/>
      </rPr>
      <t xml:space="preserve"> Elecricity </t>
    </r>
  </si>
  <si>
    <r>
      <rPr>
        <b/>
        <sz val="11"/>
        <color indexed="8"/>
        <rFont val="Calibri"/>
        <family val="2"/>
      </rPr>
      <t>PROJECT</t>
    </r>
    <r>
      <rPr>
        <sz val="11"/>
        <color indexed="8"/>
        <rFont val="Calibri"/>
        <family val="2"/>
      </rPr>
      <t xml:space="preserve"> Fertilzer  </t>
    </r>
  </si>
  <si>
    <t>N2O metric tons/year:</t>
  </si>
  <si>
    <r>
      <rPr>
        <b/>
        <sz val="11"/>
        <color indexed="8"/>
        <rFont val="Calibri"/>
        <family val="2"/>
      </rPr>
      <t>BASELINE</t>
    </r>
    <r>
      <rPr>
        <sz val="11"/>
        <color indexed="8"/>
        <rFont val="Calibri"/>
        <family val="2"/>
      </rPr>
      <t xml:space="preserve"> Agricultural Equipment</t>
    </r>
  </si>
  <si>
    <r>
      <rPr>
        <b/>
        <sz val="11"/>
        <color indexed="8"/>
        <rFont val="Calibri"/>
        <family val="2"/>
      </rPr>
      <t>BASELINE</t>
    </r>
    <r>
      <rPr>
        <sz val="11"/>
        <color indexed="8"/>
        <rFont val="Calibri"/>
        <family val="2"/>
      </rPr>
      <t xml:space="preserve"> Animals</t>
    </r>
  </si>
  <si>
    <r>
      <rPr>
        <b/>
        <sz val="11"/>
        <color indexed="8"/>
        <rFont val="Calibri"/>
        <family val="2"/>
      </rPr>
      <t>BASELINE</t>
    </r>
    <r>
      <rPr>
        <sz val="11"/>
        <color indexed="8"/>
        <rFont val="Calibri"/>
        <family val="2"/>
      </rPr>
      <t xml:space="preserve"> Stationary Combustion</t>
    </r>
  </si>
  <si>
    <r>
      <rPr>
        <b/>
        <sz val="11"/>
        <color indexed="8"/>
        <rFont val="Calibri"/>
        <family val="2"/>
      </rPr>
      <t>BASELINE</t>
    </r>
    <r>
      <rPr>
        <sz val="11"/>
        <color indexed="8"/>
        <rFont val="Calibri"/>
        <family val="2"/>
      </rPr>
      <t xml:space="preserve"> Elecricity </t>
    </r>
  </si>
  <si>
    <r>
      <rPr>
        <b/>
        <sz val="11"/>
        <color indexed="8"/>
        <rFont val="Calibri"/>
        <family val="2"/>
      </rPr>
      <t>BASELINE</t>
    </r>
    <r>
      <rPr>
        <sz val="11"/>
        <color indexed="8"/>
        <rFont val="Calibri"/>
        <family val="2"/>
      </rPr>
      <t xml:space="preserve"> Fertilzer  </t>
    </r>
  </si>
  <si>
    <t>Number of Trees Planted</t>
  </si>
  <si>
    <t>Hardwoods</t>
  </si>
  <si>
    <t>Conifers</t>
  </si>
  <si>
    <t>Fast</t>
  </si>
  <si>
    <t>Medium</t>
  </si>
  <si>
    <t>Slow</t>
  </si>
  <si>
    <t>Unit of</t>
  </si>
  <si>
    <t>Gas</t>
  </si>
  <si>
    <t>Type</t>
  </si>
  <si>
    <t>Measure</t>
  </si>
  <si>
    <t>Carbon dioxide</t>
  </si>
  <si>
    <t>Total Storage</t>
  </si>
  <si>
    <t>metric tons</t>
  </si>
  <si>
    <t>Annual Increase</t>
  </si>
  <si>
    <t>Sequestration in Data Year 1 for All Trees Planted Through Current Reporting Year</t>
  </si>
  <si>
    <t>A. Species Characteristics</t>
  </si>
  <si>
    <t>B</t>
  </si>
  <si>
    <t>C</t>
  </si>
  <si>
    <t>D</t>
  </si>
  <si>
    <t>E</t>
  </si>
  <si>
    <t>F</t>
  </si>
  <si>
    <t>G</t>
  </si>
  <si>
    <t>Name</t>
  </si>
  <si>
    <t>Tree Type</t>
  </si>
  <si>
    <t>Growth Rate</t>
  </si>
  <si>
    <t>Tree Age</t>
  </si>
  <si>
    <t>No. Planted</t>
  </si>
  <si>
    <t>Survival</t>
  </si>
  <si>
    <t>No. of Trees</t>
  </si>
  <si>
    <t>Seq. Rate</t>
  </si>
  <si>
    <t>Carbon Seq.</t>
  </si>
  <si>
    <t>(H OR C)</t>
  </si>
  <si>
    <t>(S,M, or F)</t>
  </si>
  <si>
    <t>(in Reporting Year)</t>
  </si>
  <si>
    <t>(At Age 0)</t>
  </si>
  <si>
    <t>Factor</t>
  </si>
  <si>
    <t xml:space="preserve"> Surviving</t>
  </si>
  <si>
    <t>(lbs/tree)</t>
  </si>
  <si>
    <t>(lbs)</t>
  </si>
  <si>
    <t>(tons)</t>
  </si>
  <si>
    <t>Fast-growth hardwoods</t>
  </si>
  <si>
    <t>H</t>
  </si>
  <si>
    <t>Med-growth hardwoods</t>
  </si>
  <si>
    <t>M</t>
  </si>
  <si>
    <t>Slow-growth hardwoods</t>
  </si>
  <si>
    <t>S</t>
  </si>
  <si>
    <t>Fast-growth conifers</t>
  </si>
  <si>
    <t>Med-growth conifers</t>
  </si>
  <si>
    <t>Slow-growth conifers</t>
  </si>
  <si>
    <t xml:space="preserve">Total Carbon Sequestered in Reporting Year </t>
  </si>
  <si>
    <t xml:space="preserve">Total CO2 Sequestered in Reporting Year (C x 3.6667) </t>
  </si>
  <si>
    <t>Sequestration in Data Year 2 for All Trees Planted Through Current Reporting Year</t>
  </si>
  <si>
    <t>Sequestration in Data Year 3 for All Trees Planted Through Current Reporting Year</t>
  </si>
  <si>
    <t>Sequestration in Data Year 4 for All Trees Planted Through Current Reporting Year</t>
  </si>
  <si>
    <t>Sequestration in Data Year 5 for All Trees Planted Through Current Reporting Year</t>
  </si>
  <si>
    <t>Sequestration in Data Year 6 for All Trees Planted Through Current Reporting Year</t>
  </si>
  <si>
    <t>Sequestration in Data Year 7 for All Trees Planted Through Current Reporting Year</t>
  </si>
  <si>
    <t>Sequestration in Data Year 8 for All Trees Planted Through Current Reporting Year</t>
  </si>
  <si>
    <t>Sequestration in Data Year 9 for All Trees Planted Through Current Reporting Year</t>
  </si>
  <si>
    <t>Sequestration in Data Year 10 for All Trees Planted Through Current Reporting Year</t>
  </si>
  <si>
    <t>Sequestration in Data Year 11 for All Trees Planted Through Current Reporting Year</t>
  </si>
  <si>
    <t>Sequestration in Data Year 12 for All Trees Planted Through Current Reporting Year</t>
  </si>
  <si>
    <t>Sequestration in Data Year 13 for All Trees Planted Through Current Reporting Year</t>
  </si>
  <si>
    <t>Sequestration in Data Year 14 for All Trees Planted Through Current Reporting Year</t>
  </si>
  <si>
    <t>Sequestration in Data Year 15 for All Trees Planted Through Current Reporting Year</t>
  </si>
  <si>
    <t>Off-Road Equipment</t>
  </si>
  <si>
    <t>Refrigerants:</t>
  </si>
  <si>
    <t>Off-Road Equipment:</t>
  </si>
  <si>
    <t>Agriculture:</t>
  </si>
  <si>
    <t>Off-Road Equipment (typically used in commercial and industrial activities, e.g., forklifts, compressors, etc.)</t>
  </si>
  <si>
    <t>(This does not include landscape maintenance equipment, which is accounted for in the area source calculations.)</t>
  </si>
  <si>
    <t>Total Gallons Used per Year</t>
  </si>
  <si>
    <t>Refigerant Losses: Based Primarily on Appendix B: California Facilities and GHG Emissions Inventory - High Global Warming Potential Stationary Source Refrigerant Management Program</t>
  </si>
  <si>
    <t>Refrigeration Systems</t>
  </si>
  <si>
    <t>Refrigerant Charge (pounds)</t>
  </si>
  <si>
    <t>Leakage Rate (pounds/year)</t>
  </si>
  <si>
    <t>User Overide of Leakage Rate (pounds/year)</t>
  </si>
  <si>
    <t>Default GWP (weighted average)</t>
  </si>
  <si>
    <t xml:space="preserve">User Override of GWP </t>
  </si>
  <si>
    <t xml:space="preserve">Centralized </t>
  </si>
  <si>
    <t>Cold Storage</t>
  </si>
  <si>
    <t>Process Cooling</t>
  </si>
  <si>
    <t>Refrigerant Condensing Units</t>
  </si>
  <si>
    <t>AC Systems</t>
  </si>
  <si>
    <t xml:space="preserve">  </t>
  </si>
  <si>
    <t>Centrifugal Chiller (large)</t>
  </si>
  <si>
    <t>Centrifugal Chiller (medium)</t>
  </si>
  <si>
    <t>Packaged Chiller (medium)</t>
  </si>
  <si>
    <t>Unitary AC (small)</t>
  </si>
  <si>
    <t>Average Leak Rates (Annual</t>
  </si>
  <si>
    <t xml:space="preserve">Default </t>
  </si>
  <si>
    <t>Leak Rate (%)</t>
  </si>
  <si>
    <t>Refrigerant Distribution</t>
  </si>
  <si>
    <t>Centralized Systems</t>
  </si>
  <si>
    <t>GWP</t>
  </si>
  <si>
    <t>HCFC-22</t>
  </si>
  <si>
    <t>R-404A</t>
  </si>
  <si>
    <t>R-507</t>
  </si>
  <si>
    <t>Weighted GWP</t>
  </si>
  <si>
    <t>CFC-12</t>
  </si>
  <si>
    <t>R-502</t>
  </si>
  <si>
    <t>CFC-11</t>
  </si>
  <si>
    <t>HCFC-123</t>
  </si>
  <si>
    <t>HFC-134A</t>
  </si>
  <si>
    <t>R-401A</t>
  </si>
  <si>
    <t>R-404a</t>
  </si>
  <si>
    <t>R-410A</t>
  </si>
  <si>
    <t>Refrigerated Condensing Units</t>
  </si>
  <si>
    <t>HFC-134a</t>
  </si>
  <si>
    <t>Chillers</t>
  </si>
  <si>
    <t>CFC-114</t>
  </si>
  <si>
    <t>HFC-236fa</t>
  </si>
  <si>
    <t>R-407a</t>
  </si>
  <si>
    <t>R-410a</t>
  </si>
  <si>
    <t>R-500</t>
  </si>
  <si>
    <t>Unitary AC</t>
  </si>
  <si>
    <t>Refrigerants</t>
  </si>
  <si>
    <t xml:space="preserve">Propane </t>
  </si>
  <si>
    <r>
      <rPr>
        <b/>
        <sz val="11"/>
        <color indexed="8"/>
        <rFont val="Calibri"/>
        <family val="2"/>
      </rPr>
      <t>PROJECT</t>
    </r>
    <r>
      <rPr>
        <sz val="11"/>
        <color indexed="8"/>
        <rFont val="Calibri"/>
        <family val="2"/>
      </rPr>
      <t xml:space="preserve"> Fuel Use</t>
    </r>
  </si>
  <si>
    <r>
      <rPr>
        <b/>
        <sz val="11"/>
        <color indexed="8"/>
        <rFont val="Calibri"/>
        <family val="2"/>
      </rPr>
      <t>BASELINE</t>
    </r>
    <r>
      <rPr>
        <sz val="11"/>
        <color indexed="8"/>
        <rFont val="Calibri"/>
        <family val="2"/>
      </rPr>
      <t xml:space="preserve"> Fuel Use</t>
    </r>
  </si>
  <si>
    <t>Low Carbon Fuel Standard</t>
  </si>
  <si>
    <t>* If user knows type of refrigerant proposed, then the default GWP value should be used to override the default value</t>
  </si>
  <si>
    <r>
      <rPr>
        <b/>
        <sz val="11"/>
        <color indexed="8"/>
        <rFont val="Calibri"/>
        <family val="2"/>
      </rPr>
      <t>PROJECT</t>
    </r>
    <r>
      <rPr>
        <sz val="11"/>
        <color indexed="8"/>
        <rFont val="Calibri"/>
        <family val="2"/>
      </rPr>
      <t xml:space="preserve"> Refrigeration Systems</t>
    </r>
  </si>
  <si>
    <r>
      <rPr>
        <b/>
        <sz val="11"/>
        <color indexed="8"/>
        <rFont val="Calibri"/>
        <family val="2"/>
      </rPr>
      <t>PROJECT</t>
    </r>
    <r>
      <rPr>
        <sz val="11"/>
        <color indexed="8"/>
        <rFont val="Calibri"/>
        <family val="2"/>
      </rPr>
      <t xml:space="preserve"> AC Systems</t>
    </r>
  </si>
  <si>
    <t>Refrigeration Systems CO2e metric tons/year:</t>
  </si>
  <si>
    <t>AC Systems CO2e metric tons/year:</t>
  </si>
  <si>
    <r>
      <rPr>
        <b/>
        <sz val="11"/>
        <color indexed="8"/>
        <rFont val="Calibri"/>
        <family val="2"/>
      </rPr>
      <t>BASELINE</t>
    </r>
    <r>
      <rPr>
        <sz val="11"/>
        <color indexed="8"/>
        <rFont val="Calibri"/>
        <family val="2"/>
      </rPr>
      <t xml:space="preserve"> Refrigeration Systems</t>
    </r>
  </si>
  <si>
    <r>
      <rPr>
        <b/>
        <sz val="11"/>
        <color indexed="8"/>
        <rFont val="Calibri"/>
        <family val="2"/>
      </rPr>
      <t>BASELINE</t>
    </r>
    <r>
      <rPr>
        <sz val="11"/>
        <color indexed="8"/>
        <rFont val="Calibri"/>
        <family val="2"/>
      </rPr>
      <t xml:space="preserve"> AC Systems</t>
    </r>
  </si>
  <si>
    <t xml:space="preserve">    Centralized </t>
  </si>
  <si>
    <t xml:space="preserve">    Cold Storage</t>
  </si>
  <si>
    <t xml:space="preserve">    Process Cooling</t>
  </si>
  <si>
    <t xml:space="preserve">    Refrigerant Condensing Units</t>
  </si>
  <si>
    <t xml:space="preserve">    Centrifugal Chiller (large)</t>
  </si>
  <si>
    <t xml:space="preserve">    Centrifugal Chiller (medium)</t>
  </si>
  <si>
    <t xml:space="preserve">    Packaged Chiller (medium)</t>
  </si>
  <si>
    <t xml:space="preserve">    Unitary AC (small)</t>
  </si>
  <si>
    <t xml:space="preserve"> Table C.3, CCAR</t>
  </si>
  <si>
    <t>This Data location may have been changed in the Urbemis config file.</t>
  </si>
  <si>
    <t>Step 2:  Click the Refresh button to update the data:</t>
  </si>
  <si>
    <t xml:space="preserve">Step 2:  Click the Refresh Project button to read the data, </t>
  </si>
  <si>
    <t xml:space="preserve">Step 2:  Click the Refresh Baseline button to read the </t>
  </si>
  <si>
    <t>PROJECT</t>
  </si>
  <si>
    <t>BASELINE</t>
  </si>
  <si>
    <t>Sequestration:</t>
  </si>
  <si>
    <t>Jump to the Following Transportation Related Tabs:</t>
  </si>
  <si>
    <t>Truck Haul CO2 (metric tons/year):</t>
  </si>
  <si>
    <t>Truck Haul CH4 (metric tons/year):</t>
  </si>
  <si>
    <t>Truck Haul CO2e (metric tons/year):</t>
  </si>
  <si>
    <t>Landfill Offgasing (CO2e metric tons/year):</t>
  </si>
  <si>
    <t xml:space="preserve">Project </t>
  </si>
  <si>
    <t>Animals</t>
  </si>
  <si>
    <t>gallons/year</t>
  </si>
  <si>
    <t>Solar Water Heater</t>
  </si>
  <si>
    <t>Tankless Water Heater</t>
  </si>
  <si>
    <t>Cool Roofs/Green Roofs</t>
  </si>
  <si>
    <t>Drought Tolerant Landscaping</t>
  </si>
  <si>
    <t>kwh/year generated</t>
  </si>
  <si>
    <t>Low Flush Toilets</t>
  </si>
  <si>
    <t xml:space="preserve">% Reduction </t>
  </si>
  <si>
    <t>Electricity &amp; Natural Gas</t>
  </si>
  <si>
    <t>Onsite Renewable Energy Systems - Solar</t>
  </si>
  <si>
    <t>Onsite Renewable Energy Systems - Wind</t>
  </si>
  <si>
    <t>Onsite Renewable Energy Systems - Other</t>
  </si>
  <si>
    <t>kwh/year reduced</t>
  </si>
  <si>
    <t>MMBtu/year Reduced</t>
  </si>
  <si>
    <t>MMBtu/year Increased</t>
  </si>
  <si>
    <t>% Reduction Outdoor Use</t>
  </si>
  <si>
    <t>% Reduction Indoor Use</t>
  </si>
  <si>
    <t>Area Sources</t>
  </si>
  <si>
    <t>Ag</t>
  </si>
  <si>
    <t>Sequestration</t>
  </si>
  <si>
    <t>Use Ammonia of CFCs or HCFCs</t>
  </si>
  <si>
    <t>N/A</t>
  </si>
  <si>
    <t>Reduce Solid Waste by the Following Percentage</t>
  </si>
  <si>
    <t>Solid Waste Reduction %</t>
  </si>
  <si>
    <t>Mitigation Category</t>
  </si>
  <si>
    <t>Total Gallons/year</t>
  </si>
  <si>
    <t>Indoor Gallons/Year</t>
  </si>
  <si>
    <t>Outdoor Gallons/year</t>
  </si>
  <si>
    <t>Mitigated Indoor Gallons/Year</t>
  </si>
  <si>
    <t>Elec Use</t>
  </si>
  <si>
    <t>Gas Use</t>
  </si>
  <si>
    <t>Elect Use</t>
  </si>
  <si>
    <t>Change in Electricity Use (kwh/year)</t>
  </si>
  <si>
    <t>Change in Natural Gas Use (MMBtu/year)</t>
  </si>
  <si>
    <t>% Reduction Outdoor H2O Use</t>
  </si>
  <si>
    <t>% Reduction Indoor Water Use</t>
  </si>
  <si>
    <t>% Reduction in CFC/HCFC Use</t>
  </si>
  <si>
    <t>CO2 metric tons/year CO2:</t>
  </si>
  <si>
    <t>CH4 metric tons/year CH4:</t>
  </si>
  <si>
    <t>Landscaping Emissions from URBEMIS (CO2 metric tons/year):</t>
  </si>
  <si>
    <t>Hearth Emissions from URBEMIS (CO2 metric tons/year):</t>
  </si>
  <si>
    <t>Wood Burning Fireplaces (N2O metric tons/year):</t>
  </si>
  <si>
    <t>Natural Gas Fireplaces (N2O metric tons/year):</t>
  </si>
  <si>
    <t>Wood Burning Stoves (CH4 metric tons/year):</t>
  </si>
  <si>
    <t>Natural Gas Fireplaces (CH4 metric tons/year):</t>
  </si>
  <si>
    <t>Total (CO2e metric tons/year):</t>
  </si>
  <si>
    <t>Total Refrigerants CO2e metric tons/year:</t>
  </si>
  <si>
    <t>Operational Emissions from URBEMIS (CO2 tons/year)</t>
  </si>
  <si>
    <t>Metric Ton Adjustment (CO2 metric tons/year)</t>
  </si>
  <si>
    <t>Pavley Regulation Adjustment (CO2 metric tons/year):</t>
  </si>
  <si>
    <t>US EPA Adjustment (CO2e metric tons/year):</t>
  </si>
  <si>
    <t>Low Carbon Fuels Rule Adjustment (CO2e metric tons/year)</t>
  </si>
  <si>
    <t>Project Year:</t>
  </si>
  <si>
    <t>Emissions (CO2e metric tons/year):</t>
  </si>
  <si>
    <t>Metric Ton Adjustment (CO2 metric tons/year):</t>
  </si>
  <si>
    <t xml:space="preserve">Operational Vehicles from URBEMIS (CO2 tons/year): </t>
  </si>
  <si>
    <t>Low Carbon Fuels Adjustment (CO2e metric tons/year):</t>
  </si>
  <si>
    <t>Mitigation</t>
  </si>
  <si>
    <t>Check=On</t>
  </si>
  <si>
    <t>Calculations for Mitigation Selections</t>
  </si>
  <si>
    <t>Unmitigated Electricity</t>
  </si>
  <si>
    <t>Unmitigated Natural Gas</t>
  </si>
  <si>
    <t>Mitigated Electricity</t>
  </si>
  <si>
    <t>Mitigated Natural Gas</t>
  </si>
  <si>
    <t>Unmitigated Area Source</t>
  </si>
  <si>
    <t>Mitigated Area Source</t>
  </si>
  <si>
    <t>Unmitigated Transportation</t>
  </si>
  <si>
    <t>Mitigated Transportation</t>
  </si>
  <si>
    <t>Unmitigated Water and Wastewater</t>
  </si>
  <si>
    <t>Mitigated Water and Wastewater</t>
  </si>
  <si>
    <t>*** Select Mitigation Measures on the Mitigation Tab ===&gt;</t>
  </si>
  <si>
    <t>Total Mitigated kwh/year</t>
  </si>
  <si>
    <t>Mitigated Outdoor Gallons/year</t>
  </si>
  <si>
    <t>Solid Waste Generated/Year (tons)</t>
  </si>
  <si>
    <t>Total Solid Waste  (CO2e metric tons/year):</t>
  </si>
  <si>
    <t xml:space="preserve">Unmitigated Solid Waste </t>
  </si>
  <si>
    <t>Mitigated Solid Waste</t>
  </si>
  <si>
    <t>Unmitigated Refrigerants</t>
  </si>
  <si>
    <t>Mitigated Refrigerants</t>
  </si>
  <si>
    <t>Unmitigated Project-Baseline CO2e (metric tons/year)</t>
  </si>
  <si>
    <t>Mitigated Project-Baseline CO2e   (metric tons/year)</t>
  </si>
  <si>
    <t>Assistance provided by:</t>
  </si>
  <si>
    <t>Estimated Electricity Use/Year (kwh/ residence)</t>
  </si>
  <si>
    <t>Estimated Natural Gas Use (MMBtu/residence/year)</t>
  </si>
  <si>
    <t>Offsets / Credits</t>
  </si>
  <si>
    <t>Purchase Emission Offsets / Credits</t>
  </si>
  <si>
    <t>Metric Tons CO2e/Year</t>
  </si>
  <si>
    <t>Emission Credits</t>
  </si>
  <si>
    <t>Purchase of Offsets:</t>
  </si>
  <si>
    <t>Detailed Results</t>
  </si>
  <si>
    <t>CO2 (metric tpy)</t>
  </si>
  <si>
    <t>CH4 (metric tpy)</t>
  </si>
  <si>
    <t>N2O (metric tpy)</t>
  </si>
  <si>
    <t>CO2e (metric tpy)</t>
  </si>
  <si>
    <t>% of Total</t>
  </si>
  <si>
    <r>
      <t>Transportation</t>
    </r>
    <r>
      <rPr>
        <sz val="12"/>
        <color indexed="8"/>
        <rFont val="Calibri"/>
        <family val="2"/>
      </rPr>
      <t>*</t>
    </r>
    <r>
      <rPr>
        <sz val="11"/>
        <color indexed="8"/>
        <rFont val="Calibri"/>
        <family val="2"/>
      </rPr>
      <t>:</t>
    </r>
  </si>
  <si>
    <t xml:space="preserve">* Several adjustments were made to transportation emissions after they have been imported from URBEMIS.  </t>
  </si>
  <si>
    <t>Finally, CO2e is adjusted to account for th low carbon fuels rule.</t>
  </si>
  <si>
    <t>Baseline is currently:</t>
  </si>
  <si>
    <t>Mitigation Measures Selected:</t>
  </si>
  <si>
    <t>Transp. Detail Mit</t>
  </si>
  <si>
    <t>for a list of the transportation mitigation measures selected (in URBEMIS)</t>
  </si>
  <si>
    <t>Go to the following tab:</t>
  </si>
  <si>
    <t>Water and Wastewater:</t>
  </si>
  <si>
    <t>Ag:</t>
  </si>
  <si>
    <t>No existing mitigation measures available.</t>
  </si>
  <si>
    <t>Carbon Sequestration:</t>
  </si>
  <si>
    <t>Emission Offsets/Credits:</t>
  </si>
  <si>
    <t>The following mitigation measure(s) have been selected to reduce electricity emissions.</t>
  </si>
  <si>
    <t>The following mitigation measure(s) have been selected to reduce natural gas emissions.</t>
  </si>
  <si>
    <t>The following mitigation measure(s) have been selected to reduce water and wastewater emissions.</t>
  </si>
  <si>
    <t>The following mitigation measure has been selected to reduce solid waste related GHG emissions.</t>
  </si>
  <si>
    <t>The following mitigation measure has ben selected to reduce refrigerant emissions:</t>
  </si>
  <si>
    <t xml:space="preserve">After importing from URBEMIS, CO2 emissions are converted to metric tons and then adjusted to account for the "Pavley" </t>
  </si>
  <si>
    <t>regulation.  Then, CO2 is converted to CO2e by multiplying by 100/95 to account for the contribution of other GHGs (CH4, N2O, and HFCs [from leaking air conditioners]).</t>
  </si>
  <si>
    <t>Copyright:</t>
  </si>
  <si>
    <t>Project Name:</t>
  </si>
  <si>
    <t>Baseline Project Name:</t>
  </si>
  <si>
    <t>Enter data in yellow cells with values applicable to your project</t>
  </si>
  <si>
    <t>Enter data in peach cells if you have information specific to your project; these values will be used in place of the default values</t>
  </si>
  <si>
    <t>Clear All Project and Baseline Data</t>
  </si>
  <si>
    <t>Step 1:  Save the current spreadsheet, as this will cause</t>
  </si>
  <si>
    <t>all of the current data to be lost</t>
  </si>
  <si>
    <t>Or, try resetting the Emfac Database Location to its</t>
  </si>
  <si>
    <t>default value:</t>
  </si>
  <si>
    <t>Baseline is Currently:</t>
  </si>
  <si>
    <t>Unmitigated Project-Baseline Emissions CO2e/year</t>
  </si>
  <si>
    <t>Mitigated Project-Baseline Emissions CO2e/year</t>
  </si>
  <si>
    <t>Avg Round Trip Truck Haul Distance (miles):</t>
  </si>
  <si>
    <t>Step 2:  Click the Clear Data button to reset the spreadsheet</t>
  </si>
  <si>
    <t>Project and Baseline Years:</t>
  </si>
  <si>
    <t>Land Use Name</t>
  </si>
  <si>
    <t>Projected Water Use (gallons/yr)</t>
  </si>
  <si>
    <t>User Provided Blank Land Use Data:  Project Data</t>
  </si>
  <si>
    <t>User Provided Blank Land Use Data:  Baseline Data</t>
  </si>
  <si>
    <t>Natural Gas Use/Year (MM Btu/Year)</t>
  </si>
  <si>
    <t>Electricity CO2 (metric tons/yr)</t>
  </si>
  <si>
    <t>Electricity CH4 (metric tons/yr)</t>
  </si>
  <si>
    <t>Electricity N2O (metric tons/yr)</t>
  </si>
  <si>
    <t>Gas CO2 (metric tons/yr)</t>
  </si>
  <si>
    <t>Gas CH4 (metric tons/yr)</t>
  </si>
  <si>
    <t>Gas N2O (metric tons/yr)</t>
  </si>
  <si>
    <t>Electricity Use/Year (MWH/Year)</t>
  </si>
  <si>
    <t>Solid Waste Generation/Year (tons)</t>
  </si>
  <si>
    <t>% Reduction Tank to Wheels</t>
  </si>
  <si>
    <t>Increase Energy Efficiency Beyond Title 24</t>
  </si>
  <si>
    <t>% Increase In Energy Efficiency</t>
  </si>
  <si>
    <t>Percentage Reduction in Elec and Nat Gas Use</t>
  </si>
  <si>
    <t>Mitigated %</t>
  </si>
  <si>
    <t xml:space="preserve">For detailed climate zone map see:  </t>
  </si>
  <si>
    <t>http://capabilities.itron.com/CeusWeb/FCZMap.aspx</t>
  </si>
  <si>
    <t xml:space="preserve">These steps include converting from English to Metric units, adjusting for the Pavley Rule, converting CO2 to CO2e, and adjusting for the Low Carbon Fuels Rule.  </t>
  </si>
  <si>
    <t>The URBEMIS area source calculations include five separate categories: 1) natural gas fuel combustion, 2) hearth fuel combustion, 3) landscape maintenance equipment, 4) consumer products, and 5) architectural coatings. This Area Source tab imports CO2 emissions calculated by URBEMIS for hearths and landscape maintenance equipment only. BGM then calculates N2O and CH4 emissions for woodstoves and fireplaces and uses the resulting emissions to calculate CO2e. The consumer products and architectural coatings categories within URBEMIS do not generate GHG emissions and, consequently, are not used by BGM. Also, URBEMIS’ estimate of CO2 from natural gas fuel combustion is not used by BGM. Instead, BGM calculates natural gas use and the resulting CO2 emissions in the Electricity and Natural Gas tab.</t>
  </si>
  <si>
    <t>The BGM User's Manual describes in detail each step used to convert URBEMIS's transportation CO2 emissions to total CO2e.</t>
  </si>
  <si>
    <t>Bay Area Air Quality Management District Greenhouse Gas Model (BGM)   Version: 1.1.9 Beta</t>
  </si>
  <si>
    <t>C:\Documents and Settings\DMorrow\Application Data\Urbemis\Version9a\Data</t>
  </si>
  <si>
    <t>C:\Documents and Settings\DMorrow\Application Data\Urbemis\Version9a\Projects\11.17_Clayton_Weekday.urb924</t>
  </si>
  <si>
    <t>Clayton Community Church-Sunday</t>
  </si>
  <si>
    <t>Non-Residential Mix of Uses Mitigation</t>
  </si>
  <si>
    <t>------------------------------------------------------</t>
  </si>
  <si>
    <t>Percent Reduction in Trips is 7.67%</t>
  </si>
  <si>
    <t xml:space="preserve">Inputs Selected: </t>
  </si>
  <si>
    <t>The number of housing units within a 1/2 mile radius of the project, plus the</t>
  </si>
  <si>
    <t>number of residential units included in the project are 125.</t>
  </si>
  <si>
    <t>The employment for the study area (within a 1/2 mile radius of the project) is 150.</t>
  </si>
  <si>
    <t>Non-Residential Local-Serving Retail Mitigation</t>
  </si>
  <si>
    <t>---------------------------------------------------------------</t>
  </si>
  <si>
    <t>Percent Reduction in Trips is 2%</t>
  </si>
  <si>
    <t>The Presence of Local-Serving Retail checkbox was selected.</t>
  </si>
  <si>
    <t>Non-Residential Transit Service Mitigation</t>
  </si>
  <si>
    <t>----------------------------------------------------------</t>
  </si>
  <si>
    <t>Percent Reduction in Trips is 0%</t>
  </si>
  <si>
    <t>The Number of Daily Weekday Buses Stopping Within 1/4 Mile of Site is 0</t>
  </si>
  <si>
    <t>The Number of Daily Rail or Bus Rapid Transit Stops Within 1/2 Mile of Site is 0</t>
  </si>
  <si>
    <t>The Number of Dedicated Daily Shuttle Trips is 0</t>
  </si>
  <si>
    <t>Non-Residential Pedestrian/Bicycle Friendliness Mitigation</t>
  </si>
  <si>
    <t>--------------------------------------------------------------------------</t>
  </si>
  <si>
    <t>Percent Reduction in Trips is 5.48%</t>
  </si>
  <si>
    <t>The Number of Intersections per Square Mile is 100</t>
  </si>
  <si>
    <t>The Percent of Streets with Sidewalks on One Side is 50%</t>
  </si>
  <si>
    <t>The Percent of Streets with Sidewalks on Both Sides is 50%</t>
  </si>
  <si>
    <t xml:space="preserve">The Percent of Arterials/Collectors with Bike Lanes or where Suitable, </t>
  </si>
  <si>
    <t>Direct Parallel Routes Exist is 100%</t>
  </si>
  <si>
    <t>Includes correction for passby trips</t>
  </si>
  <si>
    <t>Does not include double counting adjustment for internal trips</t>
  </si>
  <si>
    <t>Analysis Year: 2012  Season: Annual</t>
  </si>
  <si>
    <t>Emfac: Version  : Emfac2007 V2.3 Nov 1 2006</t>
  </si>
  <si>
    <t>1000 sq ft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</si>
</sst>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1010409]#,##0.00;\-#,##0.00"/>
    <numFmt numFmtId="166" formatCode="[$-1010409]#,##0.0000;\-#,##0.0000"/>
    <numFmt numFmtId="167" formatCode="0.000"/>
    <numFmt numFmtId="168" formatCode="0.0000"/>
    <numFmt numFmtId="169" formatCode="#,##0.000"/>
    <numFmt numFmtId="170" formatCode="[$-1010409]#,##0;\-#,##0"/>
    <numFmt numFmtId="171" formatCode="#,##0.0000"/>
    <numFmt numFmtId="172" formatCode="[$-1010409]#,##0.00000;\-#,##0.00000"/>
    <numFmt numFmtId="173" formatCode="_(* #,##0.0_);_(* \(#,##0.0\);_(* &quot;-&quot;??_);_(@_)"/>
    <numFmt numFmtId="174" formatCode="0.00000"/>
    <numFmt numFmtId="175" formatCode="[$-1010409]#,##0.000000;\-#,##0.000000"/>
    <numFmt numFmtId="176" formatCode="#,##0.0_);\(#,##0.0\)"/>
    <numFmt numFmtId="177" formatCode="0.000_)"/>
    <numFmt numFmtId="178" formatCode="#,##0.0"/>
    <numFmt numFmtId="179" formatCode="#,##0.00000"/>
    <numFmt numFmtId="180" formatCode="_(\$* #,##0.00_);_(\$* \(#,##0.00\);_(\$* &quot;-&quot;??_);_(@_)"/>
  </numFmts>
  <fonts count="43">
    <font>
      <sz val="11"/>
      <color indexed="8"/>
      <name val="Calibri"/>
      <family val="2"/>
    </font>
    <font>
      <sz val="8"/>
      <name val="Tahoma"/>
      <family val="2"/>
    </font>
    <font>
      <b/>
      <sz val="11"/>
      <color indexed="8"/>
      <name val="Calibri"/>
      <family val="2"/>
    </font>
    <font>
      <sz val="12"/>
      <color indexed="62"/>
      <name val="Arial"/>
      <family val="2"/>
    </font>
    <font>
      <b/>
      <sz val="10"/>
      <color indexed="62"/>
      <name val="Arial"/>
      <family val="2"/>
    </font>
    <font>
      <sz val="10"/>
      <name val="Arial"/>
      <family val="2"/>
    </font>
    <font>
      <sz val="12"/>
      <color indexed="8"/>
      <name val="Calibri"/>
      <family val="2"/>
    </font>
    <font>
      <u val="single"/>
      <sz val="11"/>
      <color indexed="12"/>
      <name val="Calibri"/>
      <family val="2"/>
    </font>
    <font>
      <sz val="11"/>
      <color indexed="60"/>
      <name val="Calibri"/>
      <family val="2"/>
    </font>
    <font>
      <b/>
      <sz val="11"/>
      <color indexed="56"/>
      <name val="Calibri"/>
      <family val="2"/>
    </font>
    <font>
      <sz val="11"/>
      <color indexed="62"/>
      <name val="Calibri"/>
      <family val="2"/>
    </font>
    <font>
      <u val="single"/>
      <sz val="12"/>
      <color indexed="12"/>
      <name val="Tahoma"/>
      <family val="2"/>
    </font>
    <font>
      <b/>
      <u val="single"/>
      <sz val="14"/>
      <color indexed="8"/>
      <name val="Tahoma"/>
      <family val="2"/>
    </font>
    <font>
      <b/>
      <sz val="20"/>
      <color indexed="8"/>
      <name val="Calibri"/>
      <family val="2"/>
    </font>
    <font>
      <b/>
      <sz val="20"/>
      <color indexed="9"/>
      <name val="Calibri"/>
      <family val="2"/>
    </font>
    <font>
      <sz val="14"/>
      <color indexed="8"/>
      <name val="Tahoma"/>
      <family val="2"/>
    </font>
    <font>
      <b/>
      <sz val="14"/>
      <color indexed="8"/>
      <name val="Calibri"/>
      <family val="2"/>
    </font>
    <font>
      <b/>
      <sz val="12"/>
      <color indexed="8"/>
      <name val="Calibri"/>
      <family val="2"/>
    </font>
    <font>
      <b/>
      <sz val="11"/>
      <color indexed="10"/>
      <name val="Calibri"/>
      <family val="2"/>
    </font>
    <font>
      <sz val="11"/>
      <color indexed="10"/>
      <name val="Calibri"/>
      <family val="2"/>
    </font>
    <font>
      <sz val="11"/>
      <name val="Calibri"/>
      <family val="2"/>
    </font>
    <font>
      <u val="single"/>
      <sz val="11"/>
      <color indexed="8"/>
      <name val="Calibri"/>
      <family val="2"/>
    </font>
    <font>
      <b/>
      <i/>
      <sz val="16"/>
      <color indexed="8"/>
      <name val="Calibri"/>
      <family val="2"/>
    </font>
    <font>
      <b/>
      <sz val="16"/>
      <color indexed="8"/>
      <name val="Calibri"/>
      <family val="2"/>
    </font>
    <font>
      <sz val="11"/>
      <color indexed="8"/>
      <name val="Tahoma"/>
      <family val="2"/>
    </font>
    <font>
      <u val="single"/>
      <sz val="11"/>
      <color indexed="12"/>
      <name val="Tahoma"/>
      <family val="2"/>
    </font>
    <font>
      <b/>
      <sz val="11"/>
      <name val="Calibri"/>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6"/>
      <color indexed="8"/>
      <name val="Calibri"/>
      <family val="0"/>
    </font>
    <font>
      <sz val="10"/>
      <color indexed="8"/>
      <name val="Calibri"/>
      <family val="0"/>
    </font>
    <font>
      <b/>
      <sz val="10"/>
      <color indexed="8"/>
      <name val="Calibri"/>
      <family val="0"/>
    </font>
    <font>
      <u val="single"/>
      <sz val="8.8"/>
      <color indexed="36"/>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18"/>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style="thin"/>
      <right/>
      <top/>
      <bottom style="thin"/>
    </border>
    <border>
      <left style="thin"/>
      <right style="thin"/>
      <top style="thin"/>
      <bottom/>
    </border>
    <border>
      <left style="thin"/>
      <right style="thin"/>
      <top/>
      <bottom style="thin"/>
    </border>
    <border>
      <left style="double">
        <color indexed="62"/>
      </left>
      <right style="double"/>
      <top style="double">
        <color indexed="62"/>
      </top>
      <bottom/>
    </border>
    <border>
      <left style="double"/>
      <right style="double"/>
      <top style="double">
        <color indexed="62"/>
      </top>
      <bottom/>
    </border>
    <border>
      <left style="double"/>
      <right style="double">
        <color indexed="62"/>
      </right>
      <top style="double">
        <color indexed="62"/>
      </top>
      <bottom/>
    </border>
    <border>
      <left style="double">
        <color indexed="62"/>
      </left>
      <right style="double"/>
      <top/>
      <bottom style="double">
        <color indexed="62"/>
      </bottom>
    </border>
    <border>
      <left style="double"/>
      <right style="double"/>
      <top/>
      <bottom style="double">
        <color indexed="62"/>
      </bottom>
    </border>
    <border>
      <left style="double"/>
      <right style="double">
        <color indexed="62"/>
      </right>
      <top/>
      <bottom style="double">
        <color indexed="62"/>
      </bottom>
    </border>
    <border>
      <left style="thin"/>
      <right style="thin"/>
      <top style="double">
        <color indexed="62"/>
      </top>
      <bottom style="thin"/>
    </border>
    <border>
      <left/>
      <right/>
      <top style="thin"/>
      <bottom style="thin"/>
    </border>
    <border>
      <left/>
      <right style="thin"/>
      <top style="thin"/>
      <bottom style="thin"/>
    </border>
    <border>
      <left style="thin"/>
      <right/>
      <top style="thin"/>
      <bottom style="thin"/>
    </border>
    <border>
      <left style="double">
        <color indexed="62"/>
      </left>
      <right style="thin">
        <color indexed="62"/>
      </right>
      <top style="double">
        <color indexed="62"/>
      </top>
      <bottom/>
    </border>
    <border>
      <left style="thin">
        <color indexed="62"/>
      </left>
      <right style="thin">
        <color indexed="62"/>
      </right>
      <top style="double">
        <color indexed="62"/>
      </top>
      <bottom/>
    </border>
    <border>
      <left style="double">
        <color indexed="62"/>
      </left>
      <right style="thin">
        <color indexed="62"/>
      </right>
      <top style="thin">
        <color indexed="62"/>
      </top>
      <bottom/>
    </border>
    <border>
      <left style="thin">
        <color indexed="62"/>
      </left>
      <right style="thin">
        <color indexed="62"/>
      </right>
      <top style="thin">
        <color indexed="62"/>
      </top>
      <bottom/>
    </border>
    <border>
      <left style="thin">
        <color indexed="62"/>
      </left>
      <right style="thin">
        <color indexed="62"/>
      </right>
      <top/>
      <bottom/>
    </border>
    <border>
      <left style="thin">
        <color indexed="62"/>
      </left>
      <right style="double">
        <color indexed="62"/>
      </right>
      <top/>
      <bottom/>
    </border>
    <border>
      <left style="double">
        <color indexed="62"/>
      </left>
      <right style="thin">
        <color indexed="62"/>
      </right>
      <top/>
      <bottom/>
    </border>
    <border>
      <left style="thin">
        <color indexed="62"/>
      </left>
      <right style="thin">
        <color indexed="62"/>
      </right>
      <top style="thin">
        <color indexed="62"/>
      </top>
      <bottom style="double">
        <color indexed="62"/>
      </bottom>
    </border>
    <border>
      <left style="thin">
        <color indexed="62"/>
      </left>
      <right style="double">
        <color indexed="62"/>
      </right>
      <top style="thin">
        <color indexed="62"/>
      </top>
      <bottom style="double">
        <color indexed="62"/>
      </bottom>
    </border>
    <border>
      <left style="thin">
        <color indexed="62"/>
      </left>
      <right style="double">
        <color indexed="62"/>
      </right>
      <top style="double">
        <color indexed="62"/>
      </top>
      <bottom/>
    </border>
    <border>
      <left style="double">
        <color indexed="62"/>
      </left>
      <right/>
      <top style="double">
        <color indexed="62"/>
      </top>
      <bottom/>
    </border>
    <border>
      <left/>
      <right/>
      <top style="double">
        <color indexed="62"/>
      </top>
      <bottom/>
    </border>
    <border>
      <left/>
      <right style="thin">
        <color indexed="62"/>
      </right>
      <top style="double">
        <color indexed="62"/>
      </top>
      <bottom/>
    </border>
    <border>
      <left style="double">
        <color indexed="62"/>
      </left>
      <right/>
      <top/>
      <bottom/>
    </border>
    <border>
      <left/>
      <right style="thin">
        <color indexed="62"/>
      </right>
      <top/>
      <bottom/>
    </border>
    <border>
      <left style="double">
        <color indexed="62"/>
      </left>
      <right/>
      <top/>
      <bottom style="double">
        <color indexed="62"/>
      </bottom>
    </border>
    <border>
      <left/>
      <right/>
      <top/>
      <bottom style="double">
        <color indexed="62"/>
      </bottom>
    </border>
    <border>
      <left/>
      <right style="thin">
        <color indexed="62"/>
      </right>
      <top/>
      <bottom style="double">
        <color indexed="62"/>
      </bottom>
    </border>
    <border>
      <left style="thin">
        <color indexed="62"/>
      </left>
      <right style="thin">
        <color indexed="62"/>
      </right>
      <top/>
      <bottom style="double">
        <color indexed="62"/>
      </bottom>
    </border>
    <border>
      <left style="thin">
        <color indexed="62"/>
      </left>
      <right style="double">
        <color indexed="62"/>
      </right>
      <top/>
      <bottom style="double">
        <color indexed="62"/>
      </bottom>
    </border>
    <border>
      <left style="double">
        <color indexed="62"/>
      </left>
      <right style="thin">
        <color indexed="62"/>
      </right>
      <top style="hair">
        <color indexed="62"/>
      </top>
      <bottom/>
    </border>
    <border>
      <left style="thin">
        <color indexed="62"/>
      </left>
      <right style="thin">
        <color indexed="62"/>
      </right>
      <top style="hair">
        <color indexed="62"/>
      </top>
      <bottom/>
    </border>
    <border>
      <left style="thin">
        <color indexed="62"/>
      </left>
      <right style="double">
        <color indexed="62"/>
      </right>
      <top style="hair">
        <color indexed="62"/>
      </top>
      <bottom/>
    </border>
    <border>
      <left style="double">
        <color indexed="62"/>
      </left>
      <right style="thin">
        <color indexed="62"/>
      </right>
      <top/>
      <bottom style="double">
        <color indexed="62"/>
      </bottom>
    </border>
    <border>
      <left style="thin"/>
      <right/>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border>
    <border>
      <left/>
      <right/>
      <top style="medium"/>
      <bottom style="medium"/>
    </border>
    <border>
      <left style="thin"/>
      <right style="medium"/>
      <top style="medium"/>
      <bottom style="thin"/>
    </border>
    <border>
      <left style="thin"/>
      <right style="medium"/>
      <top style="thin"/>
      <bottom style="thin"/>
    </border>
    <border>
      <left/>
      <right style="thin"/>
      <top style="thin"/>
      <bottom style="medium"/>
    </border>
    <border>
      <left style="medium"/>
      <right style="thin"/>
      <top style="medium"/>
      <bottom style="thin"/>
    </border>
    <border>
      <left/>
      <right style="thin"/>
      <top style="medium"/>
      <bottom style="thin"/>
    </border>
    <border>
      <left/>
      <right style="medium"/>
      <top style="thin"/>
      <bottom style="thin"/>
    </border>
    <border>
      <left style="thin"/>
      <right style="thin"/>
      <top style="thin"/>
      <bottom style="medium"/>
    </border>
    <border>
      <left/>
      <right style="medium"/>
      <top style="medium"/>
      <bottom style="thin"/>
    </border>
    <border>
      <left style="medium"/>
      <right style="thin"/>
      <top style="medium"/>
      <bottom/>
    </border>
    <border>
      <left style="medium"/>
      <right style="medium"/>
      <top/>
      <bottom style="medium"/>
    </border>
    <border>
      <left style="medium"/>
      <right style="medium"/>
      <top style="medium"/>
      <bottom/>
    </border>
    <border>
      <left style="medium"/>
      <right style="medium"/>
      <top/>
      <bottom/>
    </border>
    <border>
      <left style="medium"/>
      <right style="medium"/>
      <top style="medium"/>
      <bottom style="medium"/>
    </border>
    <border>
      <left style="medium"/>
      <right/>
      <top style="thin"/>
      <bottom/>
    </border>
    <border>
      <left style="thin"/>
      <right style="medium"/>
      <top/>
      <bottom style="thin"/>
    </border>
    <border>
      <left/>
      <right style="medium"/>
      <top style="thin"/>
      <bottom style="medium"/>
    </border>
    <border>
      <left style="thin"/>
      <right style="medium"/>
      <top style="thin"/>
      <bottom style="medium"/>
    </border>
    <border>
      <left style="thin">
        <color indexed="23"/>
      </left>
      <right style="thin"/>
      <top style="thin">
        <color indexed="23"/>
      </top>
      <bottom style="thin">
        <color indexed="23"/>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medium"/>
      <right style="thick"/>
      <top style="medium"/>
      <bottom style="medium"/>
    </border>
    <border>
      <left style="thick"/>
      <right style="medium"/>
      <top style="medium"/>
      <bottom style="medium"/>
    </border>
    <border>
      <left style="thin"/>
      <right style="medium"/>
      <top style="medium"/>
      <bottom/>
    </border>
    <border>
      <left style="thin"/>
      <right style="medium"/>
      <top style="thin"/>
      <bottom/>
    </border>
    <border>
      <left style="thin"/>
      <right style="medium"/>
      <top/>
      <bottom/>
    </border>
    <border>
      <left style="medium"/>
      <right style="thin"/>
      <top style="thin"/>
      <bottom style="medium"/>
    </border>
    <border>
      <left style="thin"/>
      <right style="medium"/>
      <top/>
      <bottom style="medium"/>
    </border>
    <border>
      <left style="medium"/>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62"/>
      </left>
      <right/>
      <top style="double">
        <color indexed="62"/>
      </top>
      <bottom/>
    </border>
    <border>
      <left/>
      <right style="double">
        <color indexed="62"/>
      </right>
      <top style="double">
        <color indexed="62"/>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2"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31"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0" fillId="7" borderId="1" applyNumberFormat="0" applyAlignment="0" applyProtection="0"/>
    <xf numFmtId="0" fontId="35" fillId="0" borderId="6" applyNumberFormat="0" applyFill="0" applyAlignment="0" applyProtection="0"/>
    <xf numFmtId="0" fontId="8" fillId="22" borderId="0" applyNumberFormat="0" applyBorder="0" applyAlignment="0" applyProtection="0"/>
    <xf numFmtId="165"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 fillId="0" borderId="9" applyNumberFormat="0" applyFill="0" applyAlignment="0" applyProtection="0"/>
    <xf numFmtId="0" fontId="19" fillId="0" borderId="0" applyNumberFormat="0" applyFill="0" applyBorder="0" applyAlignment="0" applyProtection="0"/>
  </cellStyleXfs>
  <cellXfs count="660">
    <xf numFmtId="0" fontId="0" fillId="0" borderId="0" xfId="0" applyAlignment="1">
      <alignment/>
    </xf>
    <xf numFmtId="0" fontId="0" fillId="0" borderId="0" xfId="0" applyAlignment="1" quotePrefix="1">
      <alignment/>
    </xf>
    <xf numFmtId="0" fontId="11" fillId="0" borderId="0" xfId="53" applyFont="1" applyAlignment="1" applyProtection="1">
      <alignment/>
      <protection/>
    </xf>
    <xf numFmtId="0" fontId="12" fillId="0" borderId="0" xfId="0" applyFont="1" applyAlignment="1">
      <alignment/>
    </xf>
    <xf numFmtId="0" fontId="13" fillId="8" borderId="0" xfId="0" applyFont="1" applyFill="1" applyAlignment="1">
      <alignment/>
    </xf>
    <xf numFmtId="0" fontId="0" fillId="8" borderId="0" xfId="0" applyFill="1" applyAlignment="1">
      <alignment/>
    </xf>
    <xf numFmtId="0" fontId="0" fillId="0" borderId="0" xfId="0" applyFill="1" applyAlignment="1">
      <alignment/>
    </xf>
    <xf numFmtId="0" fontId="0" fillId="8" borderId="0" xfId="0" applyFill="1" applyAlignment="1">
      <alignment/>
    </xf>
    <xf numFmtId="0" fontId="0" fillId="19" borderId="0" xfId="0" applyFill="1" applyAlignment="1">
      <alignment/>
    </xf>
    <xf numFmtId="0" fontId="0" fillId="12" borderId="0" xfId="0" applyFill="1" applyAlignment="1">
      <alignment/>
    </xf>
    <xf numFmtId="0" fontId="0" fillId="24" borderId="0" xfId="0" applyFill="1" applyAlignment="1">
      <alignment/>
    </xf>
    <xf numFmtId="0" fontId="0" fillId="13" borderId="0" xfId="0" applyFill="1" applyAlignment="1">
      <alignment/>
    </xf>
    <xf numFmtId="0" fontId="0" fillId="18" borderId="0" xfId="0" applyFill="1" applyAlignment="1">
      <alignment/>
    </xf>
    <xf numFmtId="0" fontId="14" fillId="25" borderId="0" xfId="0" applyFont="1" applyFill="1" applyAlignment="1">
      <alignment/>
    </xf>
    <xf numFmtId="0" fontId="14" fillId="25" borderId="0" xfId="0" applyFont="1" applyFill="1" applyAlignment="1">
      <alignment/>
    </xf>
    <xf numFmtId="0" fontId="0" fillId="25" borderId="0" xfId="0" applyFill="1" applyAlignment="1">
      <alignment/>
    </xf>
    <xf numFmtId="0" fontId="13" fillId="25" borderId="0" xfId="0" applyFont="1" applyFill="1" applyAlignment="1">
      <alignment/>
    </xf>
    <xf numFmtId="0" fontId="0" fillId="14" borderId="0" xfId="0" applyFill="1" applyAlignment="1">
      <alignment/>
    </xf>
    <xf numFmtId="2" fontId="0" fillId="0" borderId="0" xfId="0" applyNumberFormat="1" applyAlignment="1">
      <alignment/>
    </xf>
    <xf numFmtId="0" fontId="0" fillId="0" borderId="0" xfId="0" applyNumberFormat="1" applyAlignment="1">
      <alignment/>
    </xf>
    <xf numFmtId="0" fontId="0" fillId="0" borderId="0" xfId="0" applyAlignment="1">
      <alignment/>
    </xf>
    <xf numFmtId="0" fontId="15" fillId="0" borderId="0" xfId="0" applyFont="1" applyAlignment="1">
      <alignment/>
    </xf>
    <xf numFmtId="14" fontId="0" fillId="0" borderId="0" xfId="0" applyNumberFormat="1" applyAlignment="1">
      <alignment horizontal="left"/>
    </xf>
    <xf numFmtId="0" fontId="0" fillId="0" borderId="0" xfId="0" applyFont="1" applyAlignment="1">
      <alignment horizontal="center"/>
    </xf>
    <xf numFmtId="0" fontId="16" fillId="0" borderId="0" xfId="0" applyFont="1" applyBorder="1" applyAlignment="1">
      <alignment/>
    </xf>
    <xf numFmtId="0" fontId="16" fillId="0" borderId="0" xfId="0" applyFont="1" applyAlignment="1">
      <alignment/>
    </xf>
    <xf numFmtId="0" fontId="7" fillId="0" borderId="0" xfId="53" applyAlignment="1" applyProtection="1">
      <alignment/>
      <protection/>
    </xf>
    <xf numFmtId="0" fontId="17" fillId="0" borderId="0" xfId="0" applyFont="1" applyAlignment="1">
      <alignment/>
    </xf>
    <xf numFmtId="165" fontId="2" fillId="0" borderId="0" xfId="0" applyNumberFormat="1" applyFont="1" applyFill="1" applyBorder="1" applyAlignment="1">
      <alignment/>
    </xf>
    <xf numFmtId="165" fontId="0" fillId="0" borderId="0" xfId="0" applyNumberFormat="1" applyBorder="1" applyAlignment="1">
      <alignment horizontal="center"/>
    </xf>
    <xf numFmtId="165" fontId="0" fillId="0" borderId="0" xfId="0" applyNumberFormat="1" applyAlignment="1">
      <alignment/>
    </xf>
    <xf numFmtId="165" fontId="0" fillId="0" borderId="0" xfId="0" applyNumberFormat="1" applyAlignment="1">
      <alignment horizontal="center"/>
    </xf>
    <xf numFmtId="165" fontId="0" fillId="0" borderId="0" xfId="0" applyNumberFormat="1" applyAlignment="1">
      <alignment wrapText="1"/>
    </xf>
    <xf numFmtId="165" fontId="0" fillId="0" borderId="0" xfId="0" applyNumberFormat="1" applyAlignment="1">
      <alignment/>
    </xf>
    <xf numFmtId="165" fontId="7" fillId="0" borderId="0" xfId="53" applyNumberFormat="1" applyAlignment="1" applyProtection="1">
      <alignment/>
      <protection/>
    </xf>
    <xf numFmtId="165" fontId="18" fillId="0" borderId="0" xfId="0" applyNumberFormat="1" applyFont="1" applyFill="1" applyBorder="1" applyAlignment="1">
      <alignment/>
    </xf>
    <xf numFmtId="165" fontId="0" fillId="0" borderId="0" xfId="0" applyNumberFormat="1" applyFill="1" applyBorder="1" applyAlignment="1">
      <alignment/>
    </xf>
    <xf numFmtId="165" fontId="0" fillId="0" borderId="0" xfId="0" applyNumberFormat="1" applyFont="1" applyFill="1" applyBorder="1" applyAlignment="1">
      <alignment/>
    </xf>
    <xf numFmtId="165" fontId="0" fillId="0" borderId="0" xfId="0" applyNumberFormat="1" applyFill="1" applyBorder="1" applyAlignment="1">
      <alignment horizontal="center"/>
    </xf>
    <xf numFmtId="165" fontId="0" fillId="0" borderId="0" xfId="0" applyNumberFormat="1" applyBorder="1" applyAlignment="1">
      <alignment horizontal="center" wrapText="1"/>
    </xf>
    <xf numFmtId="165" fontId="0" fillId="0" borderId="0" xfId="0" applyNumberFormat="1" applyBorder="1" applyAlignment="1">
      <alignment/>
    </xf>
    <xf numFmtId="165" fontId="0" fillId="0" borderId="10" xfId="0" applyNumberFormat="1" applyBorder="1" applyAlignment="1">
      <alignment/>
    </xf>
    <xf numFmtId="4" fontId="0" fillId="0" borderId="0" xfId="0" applyNumberFormat="1" applyAlignment="1">
      <alignment/>
    </xf>
    <xf numFmtId="165" fontId="0" fillId="0" borderId="0" xfId="0" applyNumberFormat="1" applyBorder="1" applyAlignment="1">
      <alignment/>
    </xf>
    <xf numFmtId="165" fontId="0" fillId="0" borderId="0" xfId="57" applyFont="1">
      <alignment/>
      <protection/>
    </xf>
    <xf numFmtId="165" fontId="0" fillId="0" borderId="0" xfId="57" applyFont="1" applyAlignment="1">
      <alignment horizontal="center"/>
      <protection/>
    </xf>
    <xf numFmtId="3" fontId="0" fillId="0" borderId="0" xfId="57" applyNumberFormat="1" applyFont="1">
      <alignment/>
      <protection/>
    </xf>
    <xf numFmtId="165" fontId="0" fillId="0" borderId="11" xfId="57" applyFont="1" applyBorder="1">
      <alignment/>
      <protection/>
    </xf>
    <xf numFmtId="165" fontId="0" fillId="0" borderId="11" xfId="57" applyFont="1" applyBorder="1" applyAlignment="1">
      <alignment horizontal="center"/>
      <protection/>
    </xf>
    <xf numFmtId="165" fontId="0" fillId="0" borderId="0" xfId="57" applyFont="1" applyAlignment="1">
      <alignment horizontal="center" wrapText="1"/>
      <protection/>
    </xf>
    <xf numFmtId="165" fontId="0" fillId="0" borderId="0" xfId="57" applyFont="1" applyBorder="1">
      <alignment/>
      <protection/>
    </xf>
    <xf numFmtId="165" fontId="0" fillId="0" borderId="0" xfId="57" applyFont="1" applyBorder="1" applyAlignment="1">
      <alignment horizontal="center"/>
      <protection/>
    </xf>
    <xf numFmtId="1" fontId="0" fillId="0" borderId="0" xfId="57" applyNumberFormat="1" applyFont="1" applyAlignment="1">
      <alignment horizontal="center"/>
      <protection/>
    </xf>
    <xf numFmtId="10" fontId="0" fillId="0" borderId="0" xfId="60" applyNumberFormat="1" applyFont="1" applyAlignment="1">
      <alignment horizontal="center"/>
    </xf>
    <xf numFmtId="165" fontId="0" fillId="0" borderId="11" xfId="57" applyFont="1" applyBorder="1" applyAlignment="1">
      <alignment horizontal="right"/>
      <protection/>
    </xf>
    <xf numFmtId="165" fontId="0" fillId="0" borderId="11" xfId="57" applyFont="1" applyBorder="1" applyAlignment="1">
      <alignment horizontal="center" wrapText="1"/>
      <protection/>
    </xf>
    <xf numFmtId="1" fontId="0" fillId="0" borderId="11" xfId="57" applyNumberFormat="1" applyFont="1" applyBorder="1">
      <alignment/>
      <protection/>
    </xf>
    <xf numFmtId="165" fontId="2" fillId="0" borderId="0" xfId="57" applyFont="1" applyBorder="1">
      <alignment/>
      <protection/>
    </xf>
    <xf numFmtId="2" fontId="0" fillId="0" borderId="0" xfId="0" applyNumberFormat="1" applyAlignment="1">
      <alignment horizontal="center"/>
    </xf>
    <xf numFmtId="165" fontId="0" fillId="0" borderId="11" xfId="0" applyNumberFormat="1" applyBorder="1" applyAlignment="1">
      <alignment/>
    </xf>
    <xf numFmtId="165" fontId="0" fillId="0" borderId="11" xfId="0" applyNumberFormat="1" applyBorder="1" applyAlignment="1">
      <alignment horizontal="center"/>
    </xf>
    <xf numFmtId="0" fontId="0" fillId="0" borderId="11" xfId="0" applyNumberFormat="1" applyBorder="1" applyAlignment="1">
      <alignment horizontal="center" wrapText="1"/>
    </xf>
    <xf numFmtId="165" fontId="0" fillId="0" borderId="11" xfId="0" applyNumberFormat="1" applyBorder="1" applyAlignment="1">
      <alignment horizontal="center" wrapText="1"/>
    </xf>
    <xf numFmtId="165" fontId="19" fillId="0" borderId="0" xfId="0" applyNumberFormat="1" applyFont="1" applyAlignment="1">
      <alignment horizontal="left" wrapText="1"/>
    </xf>
    <xf numFmtId="165" fontId="2" fillId="0" borderId="11" xfId="0" applyNumberFormat="1" applyFont="1" applyFill="1" applyBorder="1" applyAlignment="1">
      <alignment horizontal="right"/>
    </xf>
    <xf numFmtId="165" fontId="16" fillId="0" borderId="0" xfId="0" applyNumberFormat="1" applyFont="1" applyAlignment="1">
      <alignment/>
    </xf>
    <xf numFmtId="165" fontId="16" fillId="0" borderId="0" xfId="0" applyNumberFormat="1" applyFont="1" applyFill="1" applyBorder="1" applyAlignment="1">
      <alignment/>
    </xf>
    <xf numFmtId="165" fontId="19" fillId="0" borderId="0" xfId="0" applyNumberFormat="1" applyFont="1" applyAlignment="1">
      <alignment horizontal="left"/>
    </xf>
    <xf numFmtId="165" fontId="2" fillId="0" borderId="0" xfId="0" applyNumberFormat="1" applyFont="1" applyBorder="1" applyAlignment="1">
      <alignment/>
    </xf>
    <xf numFmtId="0" fontId="0" fillId="21" borderId="0" xfId="0" applyFill="1" applyAlignment="1">
      <alignment/>
    </xf>
    <xf numFmtId="165" fontId="0" fillId="0" borderId="0" xfId="0" applyNumberFormat="1" applyBorder="1" applyAlignment="1">
      <alignment horizontal="right"/>
    </xf>
    <xf numFmtId="1" fontId="0" fillId="26" borderId="12" xfId="0" applyNumberFormat="1" applyFill="1" applyBorder="1" applyAlignment="1">
      <alignment horizontal="center"/>
    </xf>
    <xf numFmtId="165" fontId="2" fillId="0" borderId="11" xfId="0" applyNumberFormat="1" applyFont="1" applyFill="1" applyBorder="1" applyAlignment="1">
      <alignment/>
    </xf>
    <xf numFmtId="165" fontId="20" fillId="0" borderId="11" xfId="0" applyNumberFormat="1" applyFont="1" applyBorder="1" applyAlignment="1">
      <alignment horizontal="center" wrapText="1"/>
    </xf>
    <xf numFmtId="165" fontId="0" fillId="0" borderId="11" xfId="0" applyNumberFormat="1" applyFont="1" applyFill="1" applyBorder="1" applyAlignment="1">
      <alignment/>
    </xf>
    <xf numFmtId="165" fontId="0" fillId="0" borderId="11" xfId="0" applyNumberFormat="1" applyFill="1" applyBorder="1" applyAlignment="1">
      <alignment/>
    </xf>
    <xf numFmtId="166" fontId="0" fillId="0" borderId="0" xfId="0" applyNumberFormat="1" applyBorder="1" applyAlignment="1">
      <alignment horizontal="right"/>
    </xf>
    <xf numFmtId="172" fontId="0" fillId="0" borderId="0" xfId="0" applyNumberFormat="1" applyBorder="1" applyAlignment="1">
      <alignment horizontal="right"/>
    </xf>
    <xf numFmtId="165" fontId="0" fillId="0" borderId="0" xfId="57">
      <alignment/>
      <protection/>
    </xf>
    <xf numFmtId="165" fontId="0" fillId="0" borderId="0" xfId="0" applyNumberFormat="1" applyAlignment="1">
      <alignment horizontal="right"/>
    </xf>
    <xf numFmtId="166" fontId="0" fillId="0" borderId="0" xfId="0" applyNumberFormat="1" applyFill="1" applyBorder="1" applyAlignment="1">
      <alignment horizontal="center"/>
    </xf>
    <xf numFmtId="166" fontId="0" fillId="0" borderId="0" xfId="0" applyNumberFormat="1" applyBorder="1" applyAlignment="1">
      <alignment horizontal="center"/>
    </xf>
    <xf numFmtId="1" fontId="0" fillId="0" borderId="0" xfId="42" applyNumberFormat="1" applyFont="1" applyAlignment="1">
      <alignment horizontal="center"/>
    </xf>
    <xf numFmtId="165" fontId="0" fillId="26" borderId="0" xfId="0" applyNumberFormat="1" applyFill="1" applyAlignment="1">
      <alignment/>
    </xf>
    <xf numFmtId="165" fontId="0" fillId="26" borderId="0" xfId="57" applyFill="1">
      <alignment/>
      <protection/>
    </xf>
    <xf numFmtId="166" fontId="0" fillId="0" borderId="11" xfId="0" applyNumberFormat="1" applyBorder="1" applyAlignment="1">
      <alignment horizontal="center"/>
    </xf>
    <xf numFmtId="165" fontId="0" fillId="0" borderId="11" xfId="0" applyNumberFormat="1" applyFill="1" applyBorder="1" applyAlignment="1">
      <alignment horizontal="center"/>
    </xf>
    <xf numFmtId="165" fontId="0" fillId="0" borderId="0" xfId="57" applyBorder="1">
      <alignment/>
      <protection/>
    </xf>
    <xf numFmtId="4" fontId="0" fillId="0" borderId="0" xfId="0" applyNumberFormat="1" applyFill="1" applyBorder="1" applyAlignment="1">
      <alignment/>
    </xf>
    <xf numFmtId="4" fontId="0" fillId="0" borderId="0" xfId="0" applyNumberFormat="1" applyAlignment="1">
      <alignment/>
    </xf>
    <xf numFmtId="4" fontId="0" fillId="0" borderId="0" xfId="0" applyNumberFormat="1" applyBorder="1" applyAlignment="1">
      <alignment/>
    </xf>
    <xf numFmtId="0" fontId="0" fillId="0" borderId="0" xfId="0" applyNumberFormat="1" applyAlignment="1">
      <alignment horizontal="center"/>
    </xf>
    <xf numFmtId="165" fontId="0" fillId="0" borderId="13" xfId="0" applyNumberFormat="1" applyBorder="1" applyAlignment="1">
      <alignment/>
    </xf>
    <xf numFmtId="166" fontId="0" fillId="0" borderId="0" xfId="0" applyNumberFormat="1" applyAlignment="1">
      <alignment horizontal="center"/>
    </xf>
    <xf numFmtId="11" fontId="0" fillId="0" borderId="0" xfId="0" applyNumberFormat="1" applyAlignment="1">
      <alignment horizontal="center"/>
    </xf>
    <xf numFmtId="11" fontId="0" fillId="0" borderId="0" xfId="0" applyNumberFormat="1" applyAlignment="1">
      <alignment/>
    </xf>
    <xf numFmtId="165" fontId="0" fillId="0" borderId="11" xfId="0" applyNumberFormat="1" applyBorder="1" applyAlignment="1">
      <alignment wrapText="1"/>
    </xf>
    <xf numFmtId="165" fontId="17" fillId="0" borderId="0" xfId="0" applyNumberFormat="1" applyFont="1" applyBorder="1" applyAlignment="1">
      <alignment horizontal="center"/>
    </xf>
    <xf numFmtId="165" fontId="2" fillId="0" borderId="0" xfId="0" applyNumberFormat="1" applyFont="1" applyAlignment="1">
      <alignment/>
    </xf>
    <xf numFmtId="1" fontId="0" fillId="0" borderId="14"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4" fillId="27" borderId="16" xfId="0" applyNumberFormat="1" applyFont="1" applyFill="1" applyBorder="1" applyAlignment="1" applyProtection="1">
      <alignment/>
      <protection/>
    </xf>
    <xf numFmtId="0" fontId="4" fillId="27" borderId="17" xfId="0" applyNumberFormat="1" applyFont="1" applyFill="1" applyBorder="1" applyAlignment="1" applyProtection="1">
      <alignment/>
      <protection/>
    </xf>
    <xf numFmtId="0" fontId="4" fillId="27" borderId="17" xfId="0" applyNumberFormat="1" applyFont="1" applyFill="1" applyBorder="1" applyAlignment="1" applyProtection="1">
      <alignment horizontal="center"/>
      <protection/>
    </xf>
    <xf numFmtId="0" fontId="4" fillId="27" borderId="18" xfId="0" applyNumberFormat="1" applyFont="1" applyFill="1" applyBorder="1" applyAlignment="1" applyProtection="1">
      <alignment/>
      <protection/>
    </xf>
    <xf numFmtId="0" fontId="4" fillId="27" borderId="19" xfId="0" applyNumberFormat="1" applyFont="1" applyFill="1" applyBorder="1" applyAlignment="1" applyProtection="1">
      <alignment horizontal="center"/>
      <protection/>
    </xf>
    <xf numFmtId="0" fontId="4" fillId="27" borderId="20" xfId="0" applyNumberFormat="1" applyFont="1" applyFill="1" applyBorder="1" applyAlignment="1" applyProtection="1">
      <alignment horizontal="center"/>
      <protection/>
    </xf>
    <xf numFmtId="1" fontId="4" fillId="27" borderId="20" xfId="0" applyNumberFormat="1" applyFont="1" applyFill="1" applyBorder="1" applyAlignment="1" applyProtection="1">
      <alignment horizontal="center"/>
      <protection/>
    </xf>
    <xf numFmtId="1" fontId="4" fillId="27" borderId="21" xfId="0" applyNumberFormat="1" applyFont="1" applyFill="1" applyBorder="1" applyAlignment="1" applyProtection="1">
      <alignment horizontal="center"/>
      <protection/>
    </xf>
    <xf numFmtId="0" fontId="5" fillId="27" borderId="22" xfId="0" applyNumberFormat="1" applyFont="1" applyFill="1" applyBorder="1" applyAlignment="1" applyProtection="1">
      <alignment/>
      <protection/>
    </xf>
    <xf numFmtId="0" fontId="5" fillId="27" borderId="22" xfId="0" applyNumberFormat="1" applyFont="1" applyFill="1" applyBorder="1" applyAlignment="1" applyProtection="1">
      <alignment horizontal="center"/>
      <protection/>
    </xf>
    <xf numFmtId="0" fontId="5" fillId="27" borderId="11" xfId="0" applyNumberFormat="1" applyFont="1" applyFill="1" applyBorder="1" applyAlignment="1" applyProtection="1">
      <alignment/>
      <protection/>
    </xf>
    <xf numFmtId="0" fontId="5" fillId="27" borderId="11" xfId="0" applyNumberFormat="1" applyFont="1" applyFill="1" applyBorder="1" applyAlignment="1" applyProtection="1">
      <alignment horizontal="center"/>
      <protection/>
    </xf>
    <xf numFmtId="0" fontId="0" fillId="22" borderId="0" xfId="0" applyFill="1" applyAlignment="1">
      <alignment/>
    </xf>
    <xf numFmtId="0" fontId="0" fillId="9" borderId="0" xfId="0" applyFill="1" applyAlignment="1">
      <alignment/>
    </xf>
    <xf numFmtId="165" fontId="0" fillId="0" borderId="10" xfId="0" applyNumberFormat="1" applyBorder="1" applyAlignment="1">
      <alignment horizontal="center" wrapText="1"/>
    </xf>
    <xf numFmtId="165" fontId="0" fillId="0" borderId="23" xfId="0" applyNumberFormat="1" applyBorder="1" applyAlignment="1">
      <alignment/>
    </xf>
    <xf numFmtId="165" fontId="0" fillId="0" borderId="23" xfId="0" applyNumberFormat="1" applyBorder="1" applyAlignment="1">
      <alignment horizontal="center"/>
    </xf>
    <xf numFmtId="165" fontId="0" fillId="0" borderId="23" xfId="57" applyBorder="1">
      <alignment/>
      <protection/>
    </xf>
    <xf numFmtId="165" fontId="0" fillId="0" borderId="10" xfId="0" applyNumberFormat="1" applyFill="1" applyBorder="1" applyAlignment="1">
      <alignment horizontal="center" wrapText="1"/>
    </xf>
    <xf numFmtId="37" fontId="3" fillId="26" borderId="11" xfId="0" applyNumberFormat="1" applyFont="1" applyFill="1" applyBorder="1" applyAlignment="1" applyProtection="1">
      <alignment horizontal="center"/>
      <protection locked="0"/>
    </xf>
    <xf numFmtId="165" fontId="0" fillId="0" borderId="24" xfId="0" applyNumberFormat="1" applyBorder="1" applyAlignment="1">
      <alignment/>
    </xf>
    <xf numFmtId="165" fontId="0" fillId="0" borderId="11" xfId="0" applyNumberFormat="1" applyBorder="1" applyAlignment="1">
      <alignment horizontal="right"/>
    </xf>
    <xf numFmtId="165" fontId="0" fillId="0" borderId="25" xfId="0" applyNumberFormat="1" applyBorder="1" applyAlignment="1">
      <alignment/>
    </xf>
    <xf numFmtId="165" fontId="0" fillId="0" borderId="25" xfId="0" applyNumberFormat="1" applyBorder="1" applyAlignment="1">
      <alignment/>
    </xf>
    <xf numFmtId="0" fontId="0" fillId="0" borderId="24" xfId="0" applyBorder="1" applyAlignment="1">
      <alignment/>
    </xf>
    <xf numFmtId="0" fontId="0" fillId="6" borderId="26" xfId="19" applyNumberFormat="1" applyBorder="1" applyAlignment="1" applyProtection="1">
      <alignment horizontal="centerContinuous"/>
      <protection/>
    </xf>
    <xf numFmtId="0" fontId="0" fillId="6" borderId="27" xfId="19" applyNumberFormat="1" applyBorder="1" applyAlignment="1" applyProtection="1">
      <alignment horizontal="centerContinuous"/>
      <protection/>
    </xf>
    <xf numFmtId="0" fontId="0" fillId="6" borderId="27" xfId="19" applyNumberFormat="1" applyBorder="1" applyAlignment="1" applyProtection="1">
      <alignment horizontal="center"/>
      <protection/>
    </xf>
    <xf numFmtId="0" fontId="0" fillId="6" borderId="28" xfId="19" applyNumberFormat="1" applyBorder="1" applyAlignment="1" applyProtection="1">
      <alignment horizontal="center"/>
      <protection/>
    </xf>
    <xf numFmtId="0" fontId="0" fillId="6" borderId="29" xfId="19" applyNumberFormat="1" applyBorder="1" applyAlignment="1" applyProtection="1">
      <alignment horizontal="center"/>
      <protection/>
    </xf>
    <xf numFmtId="0" fontId="0" fillId="6" borderId="30" xfId="19" applyNumberFormat="1" applyBorder="1" applyAlignment="1" applyProtection="1">
      <alignment horizontal="center"/>
      <protection/>
    </xf>
    <xf numFmtId="0" fontId="0" fillId="6" borderId="30" xfId="19" applyNumberFormat="1" applyBorder="1" applyAlignment="1" applyProtection="1">
      <alignment horizontal="centerContinuous"/>
      <protection/>
    </xf>
    <xf numFmtId="0" fontId="0" fillId="6" borderId="31" xfId="19" applyNumberFormat="1" applyBorder="1" applyAlignment="1" applyProtection="1">
      <alignment horizontal="centerContinuous"/>
      <protection/>
    </xf>
    <xf numFmtId="0" fontId="0" fillId="6" borderId="32" xfId="19" applyNumberFormat="1" applyBorder="1" applyAlignment="1" applyProtection="1">
      <alignment horizontal="center"/>
      <protection/>
    </xf>
    <xf numFmtId="0" fontId="0" fillId="6" borderId="30" xfId="19" applyNumberFormat="1" applyBorder="1" applyAlignment="1" applyProtection="1">
      <alignment horizontal="center" vertical="center"/>
      <protection/>
    </xf>
    <xf numFmtId="0" fontId="0" fillId="6" borderId="33" xfId="19" applyNumberFormat="1" applyBorder="1" applyAlignment="1" applyProtection="1">
      <alignment horizontal="center"/>
      <protection/>
    </xf>
    <xf numFmtId="0" fontId="0" fillId="6" borderId="34" xfId="19" applyNumberFormat="1" applyBorder="1" applyAlignment="1" applyProtection="1">
      <alignment horizontal="center"/>
      <protection/>
    </xf>
    <xf numFmtId="0" fontId="0" fillId="6" borderId="26" xfId="19" applyNumberFormat="1" applyBorder="1" applyAlignment="1" applyProtection="1">
      <alignment/>
      <protection/>
    </xf>
    <xf numFmtId="37" fontId="0" fillId="6" borderId="27" xfId="19" applyNumberFormat="1" applyBorder="1" applyAlignment="1" applyProtection="1">
      <alignment horizontal="center"/>
      <protection/>
    </xf>
    <xf numFmtId="176" fontId="0" fillId="6" borderId="27" xfId="19" applyNumberFormat="1" applyBorder="1" applyAlignment="1" applyProtection="1">
      <alignment horizontal="center"/>
      <protection/>
    </xf>
    <xf numFmtId="176" fontId="0" fillId="6" borderId="27" xfId="19" applyNumberFormat="1" applyBorder="1" applyAlignment="1" applyProtection="1">
      <alignment horizontal="right"/>
      <protection/>
    </xf>
    <xf numFmtId="39" fontId="0" fillId="6" borderId="35" xfId="19" applyNumberFormat="1" applyBorder="1" applyAlignment="1" applyProtection="1">
      <alignment/>
      <protection/>
    </xf>
    <xf numFmtId="0" fontId="0" fillId="6" borderId="32" xfId="19" applyNumberFormat="1" applyBorder="1" applyAlignment="1" applyProtection="1">
      <alignment/>
      <protection/>
    </xf>
    <xf numFmtId="37" fontId="0" fillId="6" borderId="30" xfId="19" applyNumberFormat="1" applyBorder="1" applyAlignment="1" applyProtection="1">
      <alignment horizontal="center"/>
      <protection/>
    </xf>
    <xf numFmtId="176" fontId="0" fillId="6" borderId="30" xfId="19" applyNumberFormat="1" applyBorder="1" applyAlignment="1" applyProtection="1">
      <alignment horizontal="center"/>
      <protection/>
    </xf>
    <xf numFmtId="176" fontId="0" fillId="6" borderId="30" xfId="19" applyNumberFormat="1" applyBorder="1" applyAlignment="1" applyProtection="1">
      <alignment horizontal="right"/>
      <protection/>
    </xf>
    <xf numFmtId="39" fontId="0" fillId="6" borderId="31" xfId="19" applyNumberFormat="1" applyBorder="1" applyAlignment="1" applyProtection="1">
      <alignment/>
      <protection/>
    </xf>
    <xf numFmtId="0" fontId="0" fillId="6" borderId="36" xfId="19" applyNumberFormat="1" applyBorder="1" applyAlignment="1" applyProtection="1">
      <alignment/>
      <protection/>
    </xf>
    <xf numFmtId="0" fontId="0" fillId="6" borderId="37" xfId="19" applyNumberFormat="1" applyBorder="1" applyAlignment="1" applyProtection="1">
      <alignment/>
      <protection/>
    </xf>
    <xf numFmtId="176" fontId="0" fillId="6" borderId="38" xfId="19" applyNumberFormat="1" applyBorder="1" applyAlignment="1" applyProtection="1">
      <alignment horizontal="right"/>
      <protection/>
    </xf>
    <xf numFmtId="176" fontId="0" fillId="6" borderId="27" xfId="19" applyNumberFormat="1" applyBorder="1" applyAlignment="1" applyProtection="1">
      <alignment/>
      <protection/>
    </xf>
    <xf numFmtId="0" fontId="0" fillId="6" borderId="39" xfId="19" applyNumberFormat="1" applyBorder="1" applyAlignment="1" applyProtection="1">
      <alignment/>
      <protection/>
    </xf>
    <xf numFmtId="0" fontId="0" fillId="6" borderId="0" xfId="19" applyNumberFormat="1" applyBorder="1" applyAlignment="1" applyProtection="1">
      <alignment/>
      <protection/>
    </xf>
    <xf numFmtId="176" fontId="0" fillId="6" borderId="0" xfId="19" applyNumberFormat="1" applyBorder="1" applyAlignment="1" applyProtection="1">
      <alignment/>
      <protection/>
    </xf>
    <xf numFmtId="176" fontId="0" fillId="6" borderId="40" xfId="19" applyNumberFormat="1" applyBorder="1" applyAlignment="1" applyProtection="1">
      <alignment/>
      <protection/>
    </xf>
    <xf numFmtId="176" fontId="0" fillId="6" borderId="30" xfId="19" applyNumberFormat="1" applyBorder="1" applyAlignment="1" applyProtection="1">
      <alignment/>
      <protection/>
    </xf>
    <xf numFmtId="0" fontId="0" fillId="6" borderId="41" xfId="19" applyNumberFormat="1" applyBorder="1" applyAlignment="1" applyProtection="1">
      <alignment/>
      <protection/>
    </xf>
    <xf numFmtId="0" fontId="0" fillId="6" borderId="42" xfId="19" applyNumberFormat="1" applyBorder="1" applyAlignment="1" applyProtection="1">
      <alignment/>
      <protection/>
    </xf>
    <xf numFmtId="176" fontId="0" fillId="6" borderId="42" xfId="19" applyNumberFormat="1" applyBorder="1" applyAlignment="1" applyProtection="1">
      <alignment/>
      <protection/>
    </xf>
    <xf numFmtId="176" fontId="0" fillId="6" borderId="43" xfId="19" applyNumberFormat="1" applyBorder="1" applyAlignment="1" applyProtection="1">
      <alignment horizontal="right"/>
      <protection/>
    </xf>
    <xf numFmtId="176" fontId="0" fillId="6" borderId="44" xfId="19" applyNumberFormat="1" applyBorder="1" applyAlignment="1" applyProtection="1">
      <alignment/>
      <protection/>
    </xf>
    <xf numFmtId="39" fontId="0" fillId="6" borderId="45" xfId="19" applyNumberFormat="1" applyBorder="1" applyAlignment="1" applyProtection="1">
      <alignment/>
      <protection/>
    </xf>
    <xf numFmtId="0" fontId="0" fillId="6" borderId="26" xfId="19" applyNumberFormat="1" applyBorder="1" applyAlignment="1" applyProtection="1">
      <alignment horizontal="center"/>
      <protection/>
    </xf>
    <xf numFmtId="0" fontId="0" fillId="6" borderId="31" xfId="19" applyNumberFormat="1" applyBorder="1" applyAlignment="1" applyProtection="1">
      <alignment horizontal="center"/>
      <protection/>
    </xf>
    <xf numFmtId="0" fontId="0" fillId="6" borderId="35" xfId="19" applyNumberFormat="1" applyBorder="1" applyAlignment="1" applyProtection="1">
      <alignment horizontal="center"/>
      <protection/>
    </xf>
    <xf numFmtId="0" fontId="0" fillId="6" borderId="46" xfId="19" applyNumberFormat="1" applyBorder="1" applyAlignment="1" applyProtection="1">
      <alignment/>
      <protection/>
    </xf>
    <xf numFmtId="0" fontId="0" fillId="6" borderId="47" xfId="19" applyNumberFormat="1" applyBorder="1" applyAlignment="1" applyProtection="1">
      <alignment horizontal="center"/>
      <protection/>
    </xf>
    <xf numFmtId="37" fontId="0" fillId="6" borderId="47" xfId="19" applyNumberFormat="1" applyBorder="1" applyAlignment="1" applyProtection="1">
      <alignment horizontal="center"/>
      <protection/>
    </xf>
    <xf numFmtId="176" fontId="0" fillId="6" borderId="47" xfId="19" applyNumberFormat="1" applyBorder="1" applyAlignment="1" applyProtection="1">
      <alignment horizontal="center"/>
      <protection/>
    </xf>
    <xf numFmtId="176" fontId="0" fillId="6" borderId="47" xfId="19" applyNumberFormat="1" applyBorder="1" applyAlignment="1" applyProtection="1">
      <alignment horizontal="right"/>
      <protection/>
    </xf>
    <xf numFmtId="39" fontId="0" fillId="6" borderId="48" xfId="19" applyNumberFormat="1" applyBorder="1" applyAlignment="1" applyProtection="1">
      <alignment/>
      <protection/>
    </xf>
    <xf numFmtId="0" fontId="0" fillId="6" borderId="35" xfId="19" applyNumberFormat="1" applyBorder="1" applyAlignment="1" applyProtection="1">
      <alignment horizontal="centerContinuous"/>
      <protection/>
    </xf>
    <xf numFmtId="177" fontId="0" fillId="6" borderId="27" xfId="19" applyNumberFormat="1" applyBorder="1" applyAlignment="1" applyProtection="1">
      <alignment horizontal="center"/>
      <protection/>
    </xf>
    <xf numFmtId="177" fontId="0" fillId="6" borderId="30" xfId="19" applyNumberFormat="1" applyBorder="1" applyAlignment="1" applyProtection="1">
      <alignment horizontal="center"/>
      <protection/>
    </xf>
    <xf numFmtId="177" fontId="0" fillId="6" borderId="47" xfId="19" applyNumberFormat="1" applyBorder="1" applyAlignment="1" applyProtection="1">
      <alignment horizontal="center"/>
      <protection/>
    </xf>
    <xf numFmtId="177" fontId="0" fillId="6" borderId="37" xfId="19" applyNumberFormat="1" applyBorder="1" applyAlignment="1" applyProtection="1">
      <alignment/>
      <protection/>
    </xf>
    <xf numFmtId="177" fontId="0" fillId="6" borderId="0" xfId="19" applyNumberFormat="1" applyBorder="1" applyAlignment="1" applyProtection="1">
      <alignment/>
      <protection/>
    </xf>
    <xf numFmtId="177" fontId="0" fillId="6" borderId="42" xfId="19" applyNumberFormat="1" applyBorder="1" applyAlignment="1" applyProtection="1">
      <alignment/>
      <protection/>
    </xf>
    <xf numFmtId="0" fontId="0" fillId="6" borderId="49" xfId="19" applyNumberFormat="1" applyBorder="1" applyAlignment="1" applyProtection="1">
      <alignment horizontal="center"/>
      <protection/>
    </xf>
    <xf numFmtId="0" fontId="0" fillId="6" borderId="44" xfId="19" applyNumberFormat="1" applyBorder="1" applyAlignment="1" applyProtection="1">
      <alignment horizontal="center" vertical="center"/>
      <protection/>
    </xf>
    <xf numFmtId="177" fontId="0" fillId="6" borderId="44" xfId="19" applyNumberFormat="1" applyBorder="1" applyAlignment="1" applyProtection="1">
      <alignment horizontal="center"/>
      <protection/>
    </xf>
    <xf numFmtId="0" fontId="0" fillId="6" borderId="44" xfId="19" applyNumberFormat="1" applyBorder="1" applyAlignment="1" applyProtection="1">
      <alignment horizontal="center"/>
      <protection/>
    </xf>
    <xf numFmtId="37" fontId="0" fillId="6" borderId="30" xfId="19" applyNumberFormat="1" applyBorder="1" applyAlignment="1" applyProtection="1">
      <alignment horizontal="center" vertical="center"/>
      <protection/>
    </xf>
    <xf numFmtId="37" fontId="0" fillId="6" borderId="47" xfId="19" applyNumberFormat="1" applyBorder="1" applyAlignment="1" applyProtection="1">
      <alignment horizontal="center" vertical="center"/>
      <protection/>
    </xf>
    <xf numFmtId="165" fontId="0" fillId="6" borderId="50" xfId="19" applyNumberFormat="1" applyBorder="1" applyAlignment="1">
      <alignment horizontal="center"/>
    </xf>
    <xf numFmtId="165" fontId="0" fillId="6" borderId="0" xfId="19" applyNumberFormat="1" applyBorder="1" applyAlignment="1">
      <alignment horizontal="center"/>
    </xf>
    <xf numFmtId="165" fontId="0" fillId="6" borderId="0" xfId="19" applyNumberFormat="1" applyAlignment="1">
      <alignment/>
    </xf>
    <xf numFmtId="165" fontId="0" fillId="6" borderId="11" xfId="19" applyNumberFormat="1" applyBorder="1" applyAlignment="1">
      <alignment/>
    </xf>
    <xf numFmtId="165" fontId="0" fillId="6" borderId="11" xfId="19" applyNumberFormat="1" applyBorder="1" applyAlignment="1">
      <alignment horizontal="center"/>
    </xf>
    <xf numFmtId="0" fontId="0" fillId="6" borderId="11" xfId="19" applyNumberFormat="1" applyBorder="1" applyAlignment="1">
      <alignment horizontal="center"/>
    </xf>
    <xf numFmtId="0" fontId="0" fillId="6" borderId="11" xfId="19" applyNumberFormat="1" applyBorder="1" applyAlignment="1">
      <alignment/>
    </xf>
    <xf numFmtId="0" fontId="0" fillId="6" borderId="11" xfId="19" applyNumberFormat="1" applyBorder="1" applyAlignment="1">
      <alignment horizontal="center" wrapText="1"/>
    </xf>
    <xf numFmtId="173" fontId="0" fillId="6" borderId="11" xfId="19" applyNumberFormat="1" applyBorder="1" applyAlignment="1">
      <alignment horizontal="center"/>
    </xf>
    <xf numFmtId="173" fontId="0" fillId="6" borderId="11" xfId="19" applyNumberFormat="1" applyBorder="1" applyAlignment="1">
      <alignment horizontal="center" wrapText="1"/>
    </xf>
    <xf numFmtId="165" fontId="0" fillId="6" borderId="11" xfId="19" applyNumberFormat="1" applyBorder="1" applyAlignment="1">
      <alignment horizontal="right"/>
    </xf>
    <xf numFmtId="166" fontId="0" fillId="6" borderId="11" xfId="19" applyNumberFormat="1" applyBorder="1" applyAlignment="1">
      <alignment horizontal="center"/>
    </xf>
    <xf numFmtId="165" fontId="0" fillId="6" borderId="11" xfId="19" applyNumberFormat="1" applyBorder="1" applyAlignment="1">
      <alignment horizontal="center" wrapText="1"/>
    </xf>
    <xf numFmtId="1" fontId="0" fillId="6" borderId="11" xfId="19" applyNumberFormat="1" applyBorder="1" applyAlignment="1">
      <alignment/>
    </xf>
    <xf numFmtId="1" fontId="0" fillId="6" borderId="11" xfId="19" applyNumberFormat="1" applyBorder="1" applyAlignment="1">
      <alignment horizontal="center"/>
    </xf>
    <xf numFmtId="165" fontId="0" fillId="6" borderId="25" xfId="19" applyNumberFormat="1" applyBorder="1" applyAlignment="1">
      <alignment horizontal="center" wrapText="1"/>
    </xf>
    <xf numFmtId="166" fontId="0" fillId="6" borderId="11" xfId="19" applyNumberFormat="1" applyBorder="1" applyAlignment="1">
      <alignment horizontal="right"/>
    </xf>
    <xf numFmtId="165" fontId="0" fillId="6" borderId="11" xfId="19" applyNumberFormat="1" applyBorder="1" applyAlignment="1">
      <alignment wrapText="1"/>
    </xf>
    <xf numFmtId="166" fontId="0" fillId="6" borderId="11" xfId="19" applyNumberFormat="1" applyBorder="1" applyAlignment="1">
      <alignment/>
    </xf>
    <xf numFmtId="172" fontId="0" fillId="6" borderId="11" xfId="19" applyNumberFormat="1" applyBorder="1" applyAlignment="1">
      <alignment/>
    </xf>
    <xf numFmtId="165" fontId="0" fillId="6" borderId="51" xfId="19" applyNumberFormat="1" applyBorder="1" applyAlignment="1">
      <alignment horizontal="center"/>
    </xf>
    <xf numFmtId="165" fontId="0" fillId="6" borderId="52" xfId="19" applyNumberFormat="1" applyBorder="1" applyAlignment="1">
      <alignment horizontal="center"/>
    </xf>
    <xf numFmtId="165" fontId="0" fillId="6" borderId="53" xfId="19" applyNumberFormat="1" applyBorder="1" applyAlignment="1">
      <alignment horizontal="center"/>
    </xf>
    <xf numFmtId="165" fontId="0" fillId="6" borderId="54" xfId="19" applyNumberFormat="1" applyBorder="1" applyAlignment="1">
      <alignment horizontal="center"/>
    </xf>
    <xf numFmtId="165" fontId="0" fillId="6" borderId="13" xfId="19" applyNumberFormat="1" applyBorder="1" applyAlignment="1">
      <alignment horizontal="center" vertical="center"/>
    </xf>
    <xf numFmtId="165" fontId="0" fillId="6" borderId="10" xfId="19" applyNumberFormat="1" applyBorder="1" applyAlignment="1">
      <alignment horizontal="center" vertical="center"/>
    </xf>
    <xf numFmtId="165" fontId="0" fillId="6" borderId="55" xfId="19" applyNumberFormat="1" applyBorder="1" applyAlignment="1">
      <alignment horizontal="center" vertical="center"/>
    </xf>
    <xf numFmtId="170" fontId="0" fillId="6" borderId="11" xfId="19" applyNumberFormat="1" applyBorder="1" applyAlignment="1">
      <alignment horizontal="center"/>
    </xf>
    <xf numFmtId="10" fontId="0" fillId="6" borderId="11" xfId="19" applyNumberFormat="1" applyBorder="1" applyAlignment="1">
      <alignment horizontal="center"/>
    </xf>
    <xf numFmtId="0" fontId="0" fillId="0" borderId="11" xfId="0" applyBorder="1" applyAlignment="1">
      <alignment horizontal="center" wrapText="1"/>
    </xf>
    <xf numFmtId="3" fontId="0" fillId="0" borderId="11" xfId="57" applyNumberFormat="1" applyBorder="1" applyAlignment="1">
      <alignment horizontal="right"/>
      <protection/>
    </xf>
    <xf numFmtId="0" fontId="9" fillId="0" borderId="5" xfId="51" applyAlignment="1">
      <alignment/>
    </xf>
    <xf numFmtId="0" fontId="15" fillId="0" borderId="0" xfId="0" applyFont="1" applyAlignment="1">
      <alignment/>
    </xf>
    <xf numFmtId="0" fontId="0" fillId="0" borderId="11" xfId="0" applyBorder="1" applyAlignment="1">
      <alignment/>
    </xf>
    <xf numFmtId="0" fontId="2" fillId="0" borderId="11" xfId="0" applyFont="1" applyBorder="1" applyAlignment="1">
      <alignment/>
    </xf>
    <xf numFmtId="0" fontId="0" fillId="0" borderId="0" xfId="0" applyAlignment="1">
      <alignment horizontal="right"/>
    </xf>
    <xf numFmtId="0" fontId="0" fillId="0" borderId="56" xfId="0" applyBorder="1" applyAlignment="1">
      <alignment/>
    </xf>
    <xf numFmtId="39" fontId="5" fillId="27" borderId="22" xfId="0" applyNumberFormat="1" applyFont="1" applyFill="1" applyBorder="1" applyAlignment="1" applyProtection="1">
      <alignment horizontal="center"/>
      <protection/>
    </xf>
    <xf numFmtId="4" fontId="5" fillId="27" borderId="22" xfId="0" applyNumberFormat="1" applyFont="1" applyFill="1" applyBorder="1" applyAlignment="1">
      <alignment horizontal="center"/>
    </xf>
    <xf numFmtId="39" fontId="5" fillId="27" borderId="11" xfId="0" applyNumberFormat="1" applyFont="1" applyFill="1" applyBorder="1" applyAlignment="1" applyProtection="1">
      <alignment horizontal="center"/>
      <protection/>
    </xf>
    <xf numFmtId="4" fontId="5" fillId="27" borderId="11" xfId="0" applyNumberFormat="1" applyFont="1" applyFill="1" applyBorder="1" applyAlignment="1">
      <alignment horizontal="center"/>
    </xf>
    <xf numFmtId="165" fontId="0" fillId="0" borderId="0" xfId="0" applyNumberFormat="1" applyBorder="1" applyAlignment="1">
      <alignment horizontal="left"/>
    </xf>
    <xf numFmtId="0" fontId="17" fillId="0" borderId="57" xfId="0" applyFont="1" applyBorder="1" applyAlignment="1">
      <alignment horizontal="righ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0" xfId="0" applyBorder="1" applyAlignment="1">
      <alignment/>
    </xf>
    <xf numFmtId="0" fontId="0" fillId="0" borderId="61" xfId="0" applyBorder="1" applyAlignment="1">
      <alignment/>
    </xf>
    <xf numFmtId="0" fontId="17" fillId="0" borderId="0" xfId="0" applyFont="1" applyBorder="1" applyAlignment="1">
      <alignment horizontal="center"/>
    </xf>
    <xf numFmtId="0" fontId="17" fillId="0" borderId="61" xfId="0" applyFont="1" applyBorder="1" applyAlignment="1">
      <alignment horizontal="center"/>
    </xf>
    <xf numFmtId="0" fontId="0" fillId="0" borderId="60" xfId="0" applyBorder="1" applyAlignment="1">
      <alignment horizontal="right"/>
    </xf>
    <xf numFmtId="0" fontId="0" fillId="0" borderId="57" xfId="0" applyBorder="1" applyAlignment="1">
      <alignment horizontal="right"/>
    </xf>
    <xf numFmtId="0" fontId="0" fillId="0" borderId="62" xfId="0" applyBorder="1" applyAlignment="1">
      <alignment horizontal="right"/>
    </xf>
    <xf numFmtId="0" fontId="16" fillId="0" borderId="60" xfId="0" applyFont="1" applyBorder="1" applyAlignment="1">
      <alignment horizontal="center"/>
    </xf>
    <xf numFmtId="4" fontId="0" fillId="0" borderId="58" xfId="0" applyNumberFormat="1" applyBorder="1" applyAlignment="1">
      <alignment horizontal="center"/>
    </xf>
    <xf numFmtId="4" fontId="0" fillId="0" borderId="59" xfId="0" applyNumberFormat="1" applyBorder="1" applyAlignment="1">
      <alignment horizontal="center"/>
    </xf>
    <xf numFmtId="0" fontId="0" fillId="0" borderId="61" xfId="0" applyBorder="1" applyAlignment="1">
      <alignment horizontal="center"/>
    </xf>
    <xf numFmtId="4" fontId="0" fillId="0" borderId="0" xfId="0" applyNumberFormat="1" applyBorder="1" applyAlignment="1">
      <alignment horizontal="center"/>
    </xf>
    <xf numFmtId="4" fontId="0" fillId="0" borderId="61" xfId="0" applyNumberFormat="1" applyBorder="1" applyAlignment="1">
      <alignment horizontal="center"/>
    </xf>
    <xf numFmtId="4" fontId="0" fillId="0" borderId="56" xfId="0" applyNumberFormat="1" applyBorder="1" applyAlignment="1">
      <alignment horizontal="center"/>
    </xf>
    <xf numFmtId="4" fontId="0" fillId="0" borderId="63" xfId="0" applyNumberFormat="1" applyBorder="1" applyAlignment="1">
      <alignment horizontal="center"/>
    </xf>
    <xf numFmtId="0" fontId="0" fillId="0" borderId="56"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0" xfId="0" applyBorder="1" applyAlignment="1">
      <alignment horizontal="center"/>
    </xf>
    <xf numFmtId="4" fontId="17" fillId="8" borderId="63" xfId="0" applyNumberFormat="1" applyFont="1" applyFill="1" applyBorder="1" applyAlignment="1">
      <alignment horizontal="center"/>
    </xf>
    <xf numFmtId="1" fontId="0" fillId="0" borderId="58" xfId="0" applyNumberFormat="1" applyBorder="1" applyAlignment="1">
      <alignment horizontal="center"/>
    </xf>
    <xf numFmtId="0" fontId="0" fillId="0" borderId="0" xfId="0" applyAlignment="1">
      <alignment horizontal="center"/>
    </xf>
    <xf numFmtId="0" fontId="17" fillId="0" borderId="61" xfId="0" applyFont="1" applyBorder="1" applyAlignment="1">
      <alignment horizontal="center" wrapText="1"/>
    </xf>
    <xf numFmtId="169" fontId="0" fillId="0" borderId="0" xfId="0" applyNumberFormat="1" applyBorder="1" applyAlignment="1">
      <alignment horizontal="center"/>
    </xf>
    <xf numFmtId="167" fontId="0" fillId="0" borderId="0" xfId="0" applyNumberFormat="1" applyBorder="1" applyAlignment="1">
      <alignment horizontal="center"/>
    </xf>
    <xf numFmtId="169" fontId="0" fillId="0" borderId="58" xfId="0" applyNumberFormat="1" applyBorder="1" applyAlignment="1">
      <alignment horizontal="center"/>
    </xf>
    <xf numFmtId="169" fontId="0" fillId="0" borderId="59" xfId="0" applyNumberFormat="1" applyBorder="1" applyAlignment="1">
      <alignment horizontal="center"/>
    </xf>
    <xf numFmtId="169" fontId="0" fillId="0" borderId="61" xfId="0" applyNumberFormat="1" applyBorder="1" applyAlignment="1">
      <alignment horizontal="center"/>
    </xf>
    <xf numFmtId="167" fontId="0" fillId="0" borderId="56" xfId="0" applyNumberFormat="1" applyBorder="1" applyAlignment="1">
      <alignment horizontal="center"/>
    </xf>
    <xf numFmtId="167" fontId="0" fillId="0" borderId="63" xfId="0" applyNumberFormat="1" applyBorder="1" applyAlignment="1">
      <alignment horizontal="center"/>
    </xf>
    <xf numFmtId="167" fontId="0" fillId="0" borderId="58" xfId="0" applyNumberFormat="1" applyBorder="1" applyAlignment="1">
      <alignment horizontal="center"/>
    </xf>
    <xf numFmtId="167" fontId="0" fillId="0" borderId="59" xfId="0" applyNumberFormat="1" applyBorder="1" applyAlignment="1">
      <alignment horizontal="center"/>
    </xf>
    <xf numFmtId="167" fontId="0" fillId="0" borderId="61" xfId="0" applyNumberFormat="1" applyBorder="1" applyAlignment="1">
      <alignment horizontal="center"/>
    </xf>
    <xf numFmtId="165" fontId="0" fillId="0" borderId="57" xfId="0" applyNumberFormat="1" applyBorder="1" applyAlignment="1">
      <alignment/>
    </xf>
    <xf numFmtId="165" fontId="0" fillId="0" borderId="60" xfId="0" applyNumberFormat="1" applyBorder="1" applyAlignment="1">
      <alignment/>
    </xf>
    <xf numFmtId="165" fontId="0" fillId="0" borderId="61" xfId="0" applyNumberFormat="1" applyBorder="1" applyAlignment="1">
      <alignment/>
    </xf>
    <xf numFmtId="165" fontId="0" fillId="0" borderId="61" xfId="0" applyNumberFormat="1" applyBorder="1" applyAlignment="1">
      <alignment horizontal="center"/>
    </xf>
    <xf numFmtId="165" fontId="0" fillId="0" borderId="56" xfId="0" applyNumberFormat="1" applyBorder="1" applyAlignment="1">
      <alignment horizontal="center"/>
    </xf>
    <xf numFmtId="165" fontId="0" fillId="0" borderId="62" xfId="0" applyNumberFormat="1" applyFill="1" applyBorder="1" applyAlignment="1">
      <alignment horizontal="right"/>
    </xf>
    <xf numFmtId="165" fontId="0" fillId="0" borderId="62" xfId="0" applyNumberFormat="1" applyBorder="1" applyAlignment="1">
      <alignment/>
    </xf>
    <xf numFmtId="165" fontId="0" fillId="0" borderId="56" xfId="0" applyNumberFormat="1" applyBorder="1" applyAlignment="1">
      <alignment/>
    </xf>
    <xf numFmtId="169" fontId="0" fillId="0" borderId="11" xfId="0" applyNumberFormat="1" applyBorder="1" applyAlignment="1">
      <alignment horizontal="center"/>
    </xf>
    <xf numFmtId="169" fontId="20" fillId="0" borderId="11" xfId="0" applyNumberFormat="1" applyFont="1" applyBorder="1" applyAlignment="1">
      <alignment horizontal="center"/>
    </xf>
    <xf numFmtId="171" fontId="0" fillId="0" borderId="11" xfId="0" applyNumberFormat="1" applyBorder="1" applyAlignment="1">
      <alignment horizontal="center"/>
    </xf>
    <xf numFmtId="172" fontId="0" fillId="0" borderId="11" xfId="0" applyNumberFormat="1" applyBorder="1" applyAlignment="1">
      <alignment horizontal="center"/>
    </xf>
    <xf numFmtId="165" fontId="0" fillId="0" borderId="11" xfId="0" applyNumberFormat="1" applyBorder="1" applyAlignment="1">
      <alignment horizontal="left"/>
    </xf>
    <xf numFmtId="165" fontId="0" fillId="0" borderId="11" xfId="0" applyNumberFormat="1" applyBorder="1" applyAlignment="1">
      <alignment/>
    </xf>
    <xf numFmtId="166" fontId="0" fillId="0" borderId="11" xfId="0" applyNumberFormat="1" applyBorder="1" applyAlignment="1">
      <alignment/>
    </xf>
    <xf numFmtId="165" fontId="0" fillId="6" borderId="11" xfId="19" applyNumberFormat="1" applyBorder="1" applyAlignment="1">
      <alignment/>
    </xf>
    <xf numFmtId="165" fontId="0" fillId="0" borderId="0" xfId="57" applyAlignment="1">
      <alignment horizontal="center"/>
      <protection/>
    </xf>
    <xf numFmtId="172" fontId="0" fillId="0" borderId="0" xfId="0" applyNumberFormat="1" applyBorder="1" applyAlignment="1">
      <alignment horizontal="center"/>
    </xf>
    <xf numFmtId="2" fontId="0" fillId="6" borderId="11" xfId="19" applyNumberFormat="1" applyBorder="1" applyAlignment="1">
      <alignment horizontal="center"/>
    </xf>
    <xf numFmtId="174" fontId="0" fillId="6" borderId="11" xfId="19" applyNumberFormat="1" applyBorder="1" applyAlignment="1">
      <alignment horizontal="center"/>
    </xf>
    <xf numFmtId="165" fontId="0" fillId="0" borderId="64" xfId="0" applyNumberFormat="1" applyFill="1" applyBorder="1" applyAlignment="1">
      <alignment horizontal="right"/>
    </xf>
    <xf numFmtId="165" fontId="0" fillId="0" borderId="65" xfId="0" applyNumberFormat="1" applyBorder="1" applyAlignment="1">
      <alignment horizontal="center"/>
    </xf>
    <xf numFmtId="169" fontId="17" fillId="8" borderId="63" xfId="0" applyNumberFormat="1" applyFont="1" applyFill="1" applyBorder="1" applyAlignment="1">
      <alignment horizontal="center"/>
    </xf>
    <xf numFmtId="165" fontId="0" fillId="0" borderId="60" xfId="57" applyFont="1" applyBorder="1" applyAlignment="1">
      <alignment horizontal="right"/>
      <protection/>
    </xf>
    <xf numFmtId="165" fontId="0" fillId="0" borderId="62" xfId="57" applyFont="1" applyBorder="1" applyAlignment="1">
      <alignment horizontal="right"/>
      <protection/>
    </xf>
    <xf numFmtId="171" fontId="0" fillId="0" borderId="61" xfId="57" applyNumberFormat="1" applyFont="1" applyBorder="1" applyAlignment="1">
      <alignment horizontal="center"/>
      <protection/>
    </xf>
    <xf numFmtId="168" fontId="0" fillId="0" borderId="0" xfId="57" applyNumberFormat="1" applyFont="1" applyBorder="1" applyAlignment="1">
      <alignment horizontal="center"/>
      <protection/>
    </xf>
    <xf numFmtId="168" fontId="0" fillId="0" borderId="61" xfId="57" applyNumberFormat="1" applyFont="1" applyBorder="1" applyAlignment="1">
      <alignment horizontal="center"/>
      <protection/>
    </xf>
    <xf numFmtId="168" fontId="0" fillId="0" borderId="56" xfId="57" applyNumberFormat="1" applyFont="1" applyBorder="1" applyAlignment="1">
      <alignment horizontal="center"/>
      <protection/>
    </xf>
    <xf numFmtId="168" fontId="0" fillId="0" borderId="63" xfId="57" applyNumberFormat="1" applyFont="1" applyBorder="1" applyAlignment="1">
      <alignment horizontal="center"/>
      <protection/>
    </xf>
    <xf numFmtId="165" fontId="0" fillId="0" borderId="56" xfId="57" applyFont="1" applyBorder="1" applyAlignment="1">
      <alignment horizontal="center"/>
      <protection/>
    </xf>
    <xf numFmtId="4" fontId="17" fillId="8" borderId="63" xfId="57" applyNumberFormat="1" applyFont="1" applyFill="1" applyBorder="1" applyAlignment="1">
      <alignment horizontal="center"/>
      <protection/>
    </xf>
    <xf numFmtId="167" fontId="0" fillId="0" borderId="11" xfId="0" applyNumberFormat="1" applyBorder="1" applyAlignment="1">
      <alignment horizontal="center"/>
    </xf>
    <xf numFmtId="2" fontId="0" fillId="0" borderId="11" xfId="0" applyNumberFormat="1" applyBorder="1" applyAlignment="1">
      <alignment horizontal="center"/>
    </xf>
    <xf numFmtId="165" fontId="0" fillId="0" borderId="0" xfId="57" applyFont="1" applyAlignment="1">
      <alignment/>
      <protection/>
    </xf>
    <xf numFmtId="165" fontId="0" fillId="0" borderId="11" xfId="57" applyBorder="1" applyAlignment="1">
      <alignment horizontal="center"/>
      <protection/>
    </xf>
    <xf numFmtId="170" fontId="0" fillId="0" borderId="11" xfId="57" applyNumberFormat="1" applyFont="1" applyBorder="1" applyAlignment="1">
      <alignment horizontal="center"/>
      <protection/>
    </xf>
    <xf numFmtId="165" fontId="0" fillId="0" borderId="58" xfId="0" applyNumberFormat="1" applyBorder="1" applyAlignment="1">
      <alignment/>
    </xf>
    <xf numFmtId="4" fontId="0" fillId="0" borderId="0" xfId="0" applyNumberFormat="1" applyBorder="1" applyAlignment="1">
      <alignment/>
    </xf>
    <xf numFmtId="165" fontId="0" fillId="0" borderId="0" xfId="57" applyBorder="1" applyAlignment="1">
      <alignment horizontal="center"/>
      <protection/>
    </xf>
    <xf numFmtId="165" fontId="0" fillId="0" borderId="0" xfId="19" applyNumberFormat="1" applyFill="1" applyBorder="1" applyAlignment="1">
      <alignment/>
    </xf>
    <xf numFmtId="165" fontId="2" fillId="0" borderId="51" xfId="0" applyNumberFormat="1" applyFont="1" applyBorder="1" applyAlignment="1">
      <alignment horizontal="center"/>
    </xf>
    <xf numFmtId="165" fontId="0" fillId="0" borderId="52" xfId="0" applyNumberFormat="1" applyBorder="1" applyAlignment="1">
      <alignment horizontal="center"/>
    </xf>
    <xf numFmtId="165" fontId="0" fillId="0" borderId="53" xfId="0" applyNumberFormat="1" applyBorder="1" applyAlignment="1">
      <alignment/>
    </xf>
    <xf numFmtId="165" fontId="0" fillId="0" borderId="50" xfId="0" applyNumberFormat="1" applyBorder="1" applyAlignment="1">
      <alignment horizontal="right" wrapText="1"/>
    </xf>
    <xf numFmtId="165" fontId="0" fillId="0" borderId="50" xfId="0" applyNumberFormat="1" applyBorder="1" applyAlignment="1">
      <alignment horizontal="right"/>
    </xf>
    <xf numFmtId="165" fontId="0" fillId="0" borderId="54" xfId="0" applyNumberFormat="1" applyBorder="1" applyAlignment="1">
      <alignment/>
    </xf>
    <xf numFmtId="165" fontId="0" fillId="0" borderId="13" xfId="0" applyNumberFormat="1" applyBorder="1" applyAlignment="1">
      <alignment horizontal="right"/>
    </xf>
    <xf numFmtId="4" fontId="0" fillId="0" borderId="10" xfId="0" applyNumberFormat="1" applyBorder="1" applyAlignment="1">
      <alignment/>
    </xf>
    <xf numFmtId="165" fontId="0" fillId="0" borderId="55" xfId="0" applyNumberFormat="1" applyBorder="1" applyAlignment="1">
      <alignment/>
    </xf>
    <xf numFmtId="165" fontId="0" fillId="0" borderId="51" xfId="0" applyNumberFormat="1" applyBorder="1" applyAlignment="1">
      <alignment/>
    </xf>
    <xf numFmtId="165" fontId="2" fillId="0" borderId="52" xfId="0" applyNumberFormat="1" applyFont="1" applyBorder="1" applyAlignment="1">
      <alignment/>
    </xf>
    <xf numFmtId="165" fontId="0" fillId="0" borderId="53" xfId="0" applyNumberFormat="1" applyBorder="1" applyAlignment="1">
      <alignment horizontal="center"/>
    </xf>
    <xf numFmtId="4" fontId="0" fillId="0" borderId="10" xfId="0" applyNumberFormat="1" applyBorder="1" applyAlignment="1">
      <alignment/>
    </xf>
    <xf numFmtId="3" fontId="0" fillId="0" borderId="11" xfId="57" applyNumberFormat="1" applyBorder="1" applyAlignment="1">
      <alignment horizontal="center"/>
      <protection/>
    </xf>
    <xf numFmtId="168" fontId="0" fillId="0" borderId="11" xfId="42" applyNumberFormat="1" applyFont="1" applyBorder="1" applyAlignment="1">
      <alignment horizontal="center"/>
    </xf>
    <xf numFmtId="165" fontId="0" fillId="0" borderId="59" xfId="0" applyNumberFormat="1" applyBorder="1" applyAlignment="1">
      <alignment/>
    </xf>
    <xf numFmtId="165" fontId="0" fillId="0" borderId="61" xfId="0" applyNumberFormat="1" applyBorder="1" applyAlignment="1">
      <alignment/>
    </xf>
    <xf numFmtId="165" fontId="0" fillId="0" borderId="63" xfId="0" applyNumberFormat="1" applyBorder="1" applyAlignment="1">
      <alignment/>
    </xf>
    <xf numFmtId="165" fontId="0" fillId="0" borderId="63" xfId="0" applyNumberFormat="1" applyBorder="1" applyAlignment="1">
      <alignment horizontal="center"/>
    </xf>
    <xf numFmtId="165" fontId="17" fillId="8" borderId="63" xfId="0" applyNumberFormat="1" applyFont="1" applyFill="1" applyBorder="1" applyAlignment="1">
      <alignment horizontal="center"/>
    </xf>
    <xf numFmtId="166" fontId="0" fillId="0" borderId="0" xfId="0" applyNumberFormat="1" applyAlignment="1">
      <alignment/>
    </xf>
    <xf numFmtId="0" fontId="6" fillId="0" borderId="0" xfId="0" applyFont="1" applyAlignment="1">
      <alignment/>
    </xf>
    <xf numFmtId="165" fontId="0" fillId="0" borderId="11" xfId="57" applyFont="1" applyBorder="1" applyAlignment="1">
      <alignment horizontal="left"/>
      <protection/>
    </xf>
    <xf numFmtId="165" fontId="0" fillId="0" borderId="11" xfId="57" applyFont="1" applyFill="1" applyBorder="1" applyAlignment="1">
      <alignment horizontal="left"/>
      <protection/>
    </xf>
    <xf numFmtId="0" fontId="0" fillId="0" borderId="57" xfId="0" applyBorder="1" applyAlignment="1">
      <alignment horizontal="right" wrapText="1"/>
    </xf>
    <xf numFmtId="0" fontId="0" fillId="0" borderId="60" xfId="0" applyBorder="1" applyAlignment="1">
      <alignment horizontal="right" wrapText="1"/>
    </xf>
    <xf numFmtId="165" fontId="0" fillId="0" borderId="57" xfId="0" applyNumberFormat="1" applyBorder="1" applyAlignment="1">
      <alignment horizontal="right"/>
    </xf>
    <xf numFmtId="165" fontId="0" fillId="0" borderId="60" xfId="0" applyNumberFormat="1" applyBorder="1" applyAlignment="1">
      <alignment horizontal="right"/>
    </xf>
    <xf numFmtId="165" fontId="0" fillId="0" borderId="62" xfId="0" applyNumberFormat="1" applyBorder="1" applyAlignment="1">
      <alignment horizontal="right"/>
    </xf>
    <xf numFmtId="0" fontId="0" fillId="0" borderId="11" xfId="0" applyBorder="1" applyAlignment="1">
      <alignment horizontal="right"/>
    </xf>
    <xf numFmtId="169" fontId="0" fillId="0" borderId="56" xfId="0" applyNumberFormat="1" applyBorder="1" applyAlignment="1">
      <alignment horizontal="center"/>
    </xf>
    <xf numFmtId="169" fontId="0" fillId="0" borderId="63" xfId="0" applyNumberFormat="1" applyBorder="1" applyAlignment="1">
      <alignment horizontal="center"/>
    </xf>
    <xf numFmtId="4" fontId="0" fillId="0" borderId="59" xfId="0" applyNumberFormat="1" applyFill="1" applyBorder="1" applyAlignment="1">
      <alignment horizontal="center"/>
    </xf>
    <xf numFmtId="171" fontId="0" fillId="0" borderId="61" xfId="0" applyNumberFormat="1" applyFill="1" applyBorder="1" applyAlignment="1">
      <alignment horizontal="center"/>
    </xf>
    <xf numFmtId="0" fontId="0" fillId="0" borderId="0" xfId="0" applyAlignment="1">
      <alignment wrapText="1"/>
    </xf>
    <xf numFmtId="165" fontId="0" fillId="0" borderId="24" xfId="57" applyFont="1" applyBorder="1" applyAlignment="1">
      <alignment horizontal="left"/>
      <protection/>
    </xf>
    <xf numFmtId="165" fontId="0" fillId="0" borderId="0" xfId="57" applyFont="1" applyBorder="1" applyAlignment="1">
      <alignment horizontal="left" wrapText="1"/>
      <protection/>
    </xf>
    <xf numFmtId="165" fontId="0" fillId="0" borderId="0" xfId="57" applyFont="1" applyBorder="1" applyAlignment="1">
      <alignment horizontal="left"/>
      <protection/>
    </xf>
    <xf numFmtId="165" fontId="0" fillId="0" borderId="0" xfId="57" applyFont="1" applyFill="1" applyBorder="1" applyAlignment="1">
      <alignment horizontal="left"/>
      <protection/>
    </xf>
    <xf numFmtId="165" fontId="0" fillId="0" borderId="11" xfId="57" applyFont="1" applyBorder="1" applyAlignment="1">
      <alignment horizontal="left" vertical="center" wrapText="1"/>
      <protection/>
    </xf>
    <xf numFmtId="171" fontId="0" fillId="0" borderId="58" xfId="0" applyNumberFormat="1" applyBorder="1" applyAlignment="1">
      <alignment horizontal="center"/>
    </xf>
    <xf numFmtId="171" fontId="0" fillId="0" borderId="0" xfId="0" applyNumberFormat="1" applyBorder="1" applyAlignment="1">
      <alignment horizontal="center"/>
    </xf>
    <xf numFmtId="171" fontId="0" fillId="0" borderId="56" xfId="0" applyNumberFormat="1" applyBorder="1" applyAlignment="1">
      <alignment horizontal="center"/>
    </xf>
    <xf numFmtId="4" fontId="17" fillId="16" borderId="63" xfId="0" applyNumberFormat="1" applyFont="1" applyFill="1" applyBorder="1" applyAlignment="1">
      <alignment horizontal="center"/>
    </xf>
    <xf numFmtId="165" fontId="0" fillId="0" borderId="11" xfId="57" applyBorder="1" applyAlignment="1">
      <alignment horizontal="center" wrapText="1"/>
      <protection/>
    </xf>
    <xf numFmtId="0" fontId="16" fillId="0" borderId="0" xfId="0" applyFont="1" applyAlignment="1">
      <alignment horizontal="center" wrapText="1"/>
    </xf>
    <xf numFmtId="0" fontId="0" fillId="0" borderId="57" xfId="0" applyBorder="1" applyAlignment="1">
      <alignment/>
    </xf>
    <xf numFmtId="0" fontId="0" fillId="0" borderId="66" xfId="0" applyBorder="1" applyAlignment="1">
      <alignment horizontal="center" wrapText="1"/>
    </xf>
    <xf numFmtId="0" fontId="0" fillId="0" borderId="60" xfId="0" applyBorder="1" applyAlignment="1">
      <alignment horizontal="center" vertical="center"/>
    </xf>
    <xf numFmtId="0" fontId="0" fillId="0" borderId="61" xfId="0" applyFill="1" applyBorder="1" applyAlignment="1">
      <alignment horizontal="center"/>
    </xf>
    <xf numFmtId="0" fontId="0" fillId="0" borderId="67" xfId="0" applyBorder="1" applyAlignment="1">
      <alignment horizontal="center" wrapText="1"/>
    </xf>
    <xf numFmtId="165" fontId="0" fillId="0" borderId="68" xfId="57" applyFont="1" applyFill="1" applyBorder="1" applyAlignment="1">
      <alignment horizontal="left"/>
      <protection/>
    </xf>
    <xf numFmtId="0" fontId="0" fillId="0" borderId="69" xfId="0" applyBorder="1" applyAlignment="1">
      <alignment horizontal="center"/>
    </xf>
    <xf numFmtId="165" fontId="0" fillId="0" borderId="70" xfId="57" applyFont="1" applyBorder="1" applyAlignment="1">
      <alignment horizontal="center"/>
      <protection/>
    </xf>
    <xf numFmtId="0" fontId="0" fillId="0" borderId="60" xfId="0" applyBorder="1" applyAlignment="1">
      <alignment horizontal="center" vertical="center" wrapText="1"/>
    </xf>
    <xf numFmtId="0" fontId="0" fillId="0" borderId="71" xfId="0" applyBorder="1" applyAlignment="1">
      <alignment horizontal="center"/>
    </xf>
    <xf numFmtId="165" fontId="0" fillId="0" borderId="72" xfId="57" applyFont="1" applyFill="1" applyBorder="1" applyAlignment="1">
      <alignment horizontal="left"/>
      <protection/>
    </xf>
    <xf numFmtId="0" fontId="0" fillId="0" borderId="25" xfId="0" applyBorder="1" applyAlignment="1">
      <alignment horizontal="center" wrapText="1"/>
    </xf>
    <xf numFmtId="0" fontId="0" fillId="0" borderId="73" xfId="0" applyBorder="1" applyAlignment="1">
      <alignment horizontal="center" wrapText="1"/>
    </xf>
    <xf numFmtId="0" fontId="0" fillId="0" borderId="66" xfId="0" applyBorder="1" applyAlignment="1">
      <alignment/>
    </xf>
    <xf numFmtId="0" fontId="0" fillId="0" borderId="72" xfId="0" applyBorder="1" applyAlignment="1">
      <alignment horizontal="center"/>
    </xf>
    <xf numFmtId="0" fontId="0" fillId="0" borderId="66" xfId="0" applyBorder="1" applyAlignment="1">
      <alignment horizontal="center"/>
    </xf>
    <xf numFmtId="0" fontId="0" fillId="0" borderId="72" xfId="0" applyBorder="1" applyAlignment="1">
      <alignment/>
    </xf>
    <xf numFmtId="0" fontId="0" fillId="0" borderId="74" xfId="0" applyBorder="1" applyAlignment="1">
      <alignment/>
    </xf>
    <xf numFmtId="0" fontId="0" fillId="0" borderId="58" xfId="0" applyBorder="1" applyAlignment="1">
      <alignment horizontal="center" wrapText="1"/>
    </xf>
    <xf numFmtId="0" fontId="16" fillId="0" borderId="57" xfId="0" applyFont="1" applyBorder="1" applyAlignment="1">
      <alignment horizontal="center"/>
    </xf>
    <xf numFmtId="0" fontId="0" fillId="28" borderId="0" xfId="0" applyFill="1" applyAlignment="1">
      <alignment/>
    </xf>
    <xf numFmtId="0" fontId="0" fillId="0" borderId="50" xfId="0" applyBorder="1" applyAlignment="1">
      <alignment/>
    </xf>
    <xf numFmtId="0" fontId="0" fillId="0" borderId="54" xfId="0" applyBorder="1" applyAlignment="1">
      <alignment/>
    </xf>
    <xf numFmtId="0" fontId="21" fillId="0" borderId="54" xfId="0" applyFont="1" applyBorder="1" applyAlignment="1">
      <alignment/>
    </xf>
    <xf numFmtId="0" fontId="0" fillId="0" borderId="50" xfId="0" applyBorder="1" applyAlignment="1">
      <alignment wrapText="1"/>
    </xf>
    <xf numFmtId="0" fontId="0" fillId="0" borderId="13" xfId="0" applyBorder="1" applyAlignment="1">
      <alignment/>
    </xf>
    <xf numFmtId="0" fontId="0" fillId="0" borderId="55" xfId="0" applyBorder="1" applyAlignment="1">
      <alignment/>
    </xf>
    <xf numFmtId="0" fontId="2" fillId="0" borderId="10" xfId="0" applyFont="1" applyBorder="1" applyAlignment="1">
      <alignment/>
    </xf>
    <xf numFmtId="0" fontId="0" fillId="0" borderId="10" xfId="0" applyBorder="1" applyAlignment="1">
      <alignment/>
    </xf>
    <xf numFmtId="165" fontId="0" fillId="0" borderId="59" xfId="0" applyNumberFormat="1" applyBorder="1" applyAlignment="1">
      <alignment horizontal="center"/>
    </xf>
    <xf numFmtId="165" fontId="0" fillId="0" borderId="25" xfId="0" applyNumberFormat="1" applyBorder="1" applyAlignment="1">
      <alignment horizontal="center" wrapText="1"/>
    </xf>
    <xf numFmtId="172" fontId="0" fillId="0" borderId="25" xfId="0" applyNumberFormat="1" applyBorder="1" applyAlignment="1">
      <alignment horizontal="center"/>
    </xf>
    <xf numFmtId="165" fontId="2" fillId="0" borderId="57" xfId="57" applyFont="1" applyBorder="1">
      <alignment/>
      <protection/>
    </xf>
    <xf numFmtId="165" fontId="2" fillId="0" borderId="62" xfId="57" applyFont="1" applyBorder="1">
      <alignment/>
      <protection/>
    </xf>
    <xf numFmtId="0" fontId="17" fillId="0" borderId="56" xfId="0" applyFont="1" applyBorder="1" applyAlignment="1">
      <alignment horizontal="center"/>
    </xf>
    <xf numFmtId="165" fontId="17" fillId="0" borderId="0" xfId="0" applyNumberFormat="1" applyFont="1" applyAlignment="1">
      <alignment/>
    </xf>
    <xf numFmtId="165" fontId="7" fillId="0" borderId="0" xfId="53" applyNumberFormat="1" applyBorder="1" applyAlignment="1" applyProtection="1">
      <alignment horizontal="center"/>
      <protection/>
    </xf>
    <xf numFmtId="165" fontId="17" fillId="0" borderId="56" xfId="0" applyNumberFormat="1" applyFont="1" applyBorder="1" applyAlignment="1">
      <alignment horizontal="center"/>
    </xf>
    <xf numFmtId="165" fontId="17" fillId="0" borderId="61" xfId="0" applyNumberFormat="1" applyFont="1" applyBorder="1" applyAlignment="1">
      <alignment/>
    </xf>
    <xf numFmtId="0" fontId="0" fillId="0" borderId="62" xfId="0" applyBorder="1" applyAlignment="1">
      <alignment/>
    </xf>
    <xf numFmtId="165" fontId="2" fillId="0" borderId="0" xfId="57" applyFont="1">
      <alignment/>
      <protection/>
    </xf>
    <xf numFmtId="0" fontId="2" fillId="0" borderId="0" xfId="0" applyFont="1" applyBorder="1" applyAlignment="1">
      <alignment/>
    </xf>
    <xf numFmtId="165" fontId="0" fillId="0" borderId="61" xfId="0" applyNumberFormat="1" applyBorder="1" applyAlignment="1">
      <alignment horizontal="right"/>
    </xf>
    <xf numFmtId="165" fontId="17" fillId="0" borderId="0" xfId="0" applyNumberFormat="1" applyFont="1" applyBorder="1" applyAlignment="1">
      <alignment/>
    </xf>
    <xf numFmtId="165" fontId="17" fillId="0" borderId="61" xfId="0" applyNumberFormat="1" applyFont="1" applyBorder="1" applyAlignment="1">
      <alignment horizontal="center"/>
    </xf>
    <xf numFmtId="165" fontId="2" fillId="0" borderId="57" xfId="0" applyNumberFormat="1" applyFont="1" applyBorder="1" applyAlignment="1">
      <alignment/>
    </xf>
    <xf numFmtId="165" fontId="2" fillId="0" borderId="60" xfId="0" applyNumberFormat="1" applyFont="1" applyBorder="1" applyAlignment="1">
      <alignment/>
    </xf>
    <xf numFmtId="165" fontId="0" fillId="0" borderId="59" xfId="0" applyNumberFormat="1" applyBorder="1" applyAlignment="1">
      <alignment/>
    </xf>
    <xf numFmtId="165" fontId="2" fillId="0" borderId="62" xfId="0" applyNumberFormat="1" applyFont="1" applyBorder="1" applyAlignment="1">
      <alignment/>
    </xf>
    <xf numFmtId="165" fontId="2" fillId="0" borderId="75" xfId="0" applyNumberFormat="1" applyFont="1" applyBorder="1" applyAlignment="1">
      <alignment/>
    </xf>
    <xf numFmtId="165" fontId="0" fillId="0" borderId="58" xfId="0" applyNumberFormat="1" applyBorder="1" applyAlignment="1">
      <alignment horizontal="right"/>
    </xf>
    <xf numFmtId="165" fontId="0" fillId="0" borderId="56" xfId="0" applyNumberFormat="1" applyBorder="1" applyAlignment="1">
      <alignment horizontal="right"/>
    </xf>
    <xf numFmtId="39" fontId="0" fillId="0" borderId="11" xfId="42" applyNumberFormat="1" applyFont="1" applyBorder="1" applyAlignment="1">
      <alignment/>
    </xf>
    <xf numFmtId="0" fontId="0" fillId="0" borderId="52" xfId="0" applyBorder="1" applyAlignment="1">
      <alignment/>
    </xf>
    <xf numFmtId="0" fontId="0" fillId="0" borderId="53" xfId="0" applyBorder="1" applyAlignment="1">
      <alignment/>
    </xf>
    <xf numFmtId="2" fontId="0" fillId="0" borderId="76" xfId="0" applyNumberFormat="1" applyBorder="1" applyAlignment="1">
      <alignment horizontal="center"/>
    </xf>
    <xf numFmtId="168" fontId="0" fillId="0" borderId="77" xfId="0" applyNumberFormat="1" applyBorder="1" applyAlignment="1">
      <alignment horizontal="center"/>
    </xf>
    <xf numFmtId="4" fontId="0" fillId="0" borderId="77" xfId="0" applyNumberFormat="1" applyBorder="1" applyAlignment="1">
      <alignment horizontal="center"/>
    </xf>
    <xf numFmtId="4" fontId="0" fillId="0" borderId="75" xfId="0" applyNumberFormat="1" applyBorder="1" applyAlignment="1">
      <alignment horizontal="center"/>
    </xf>
    <xf numFmtId="0" fontId="0" fillId="0" borderId="75" xfId="0" applyBorder="1" applyAlignment="1">
      <alignment/>
    </xf>
    <xf numFmtId="4" fontId="0" fillId="0" borderId="0" xfId="0" applyNumberFormat="1" applyFill="1" applyBorder="1" applyAlignment="1">
      <alignment horizontal="center"/>
    </xf>
    <xf numFmtId="2" fontId="0" fillId="0" borderId="0" xfId="0" applyNumberFormat="1" applyBorder="1" applyAlignment="1">
      <alignment horizontal="center"/>
    </xf>
    <xf numFmtId="168" fontId="0" fillId="0" borderId="0" xfId="0" applyNumberFormat="1" applyBorder="1" applyAlignment="1">
      <alignment horizontal="center"/>
    </xf>
    <xf numFmtId="1" fontId="0" fillId="0" borderId="78" xfId="0" applyNumberFormat="1" applyBorder="1" applyAlignment="1">
      <alignment horizontal="center"/>
    </xf>
    <xf numFmtId="165" fontId="0" fillId="0" borderId="78" xfId="0" applyNumberFormat="1" applyBorder="1" applyAlignment="1">
      <alignment horizontal="center"/>
    </xf>
    <xf numFmtId="165" fontId="18" fillId="0" borderId="0" xfId="0" applyNumberFormat="1" applyFont="1" applyAlignment="1">
      <alignment/>
    </xf>
    <xf numFmtId="2" fontId="0" fillId="0" borderId="58" xfId="42" applyNumberFormat="1" applyFont="1" applyBorder="1" applyAlignment="1">
      <alignment horizontal="center"/>
    </xf>
    <xf numFmtId="2" fontId="0" fillId="0" borderId="0" xfId="42" applyNumberFormat="1" applyFont="1" applyBorder="1" applyAlignment="1">
      <alignment horizontal="center"/>
    </xf>
    <xf numFmtId="2" fontId="0" fillId="0" borderId="56" xfId="42" applyNumberFormat="1" applyFont="1" applyBorder="1" applyAlignment="1">
      <alignment horizontal="center"/>
    </xf>
    <xf numFmtId="0" fontId="0" fillId="0" borderId="50" xfId="0" applyBorder="1" applyAlignment="1">
      <alignment horizontal="right"/>
    </xf>
    <xf numFmtId="165" fontId="17" fillId="0" borderId="59" xfId="0" applyNumberFormat="1" applyFont="1" applyBorder="1" applyAlignment="1">
      <alignment horizontal="center"/>
    </xf>
    <xf numFmtId="0" fontId="0" fillId="0" borderId="79" xfId="0" applyBorder="1" applyAlignment="1">
      <alignment/>
    </xf>
    <xf numFmtId="0" fontId="0" fillId="0" borderId="51" xfId="0" applyBorder="1" applyAlignment="1">
      <alignment/>
    </xf>
    <xf numFmtId="0" fontId="0" fillId="0" borderId="60" xfId="0" applyFill="1" applyBorder="1" applyAlignment="1">
      <alignment/>
    </xf>
    <xf numFmtId="0" fontId="0" fillId="0" borderId="13" xfId="0" applyBorder="1" applyAlignment="1">
      <alignment horizontal="center"/>
    </xf>
    <xf numFmtId="0" fontId="0" fillId="0" borderId="51" xfId="0" applyBorder="1" applyAlignment="1">
      <alignment horizontal="right"/>
    </xf>
    <xf numFmtId="0" fontId="0" fillId="0" borderId="13" xfId="0" applyBorder="1" applyAlignment="1">
      <alignment horizontal="right"/>
    </xf>
    <xf numFmtId="0" fontId="0" fillId="4" borderId="0" xfId="0" applyFill="1" applyAlignment="1">
      <alignment/>
    </xf>
    <xf numFmtId="39" fontId="0" fillId="0" borderId="10" xfId="0" applyNumberFormat="1" applyBorder="1" applyAlignment="1">
      <alignment horizontal="center"/>
    </xf>
    <xf numFmtId="10" fontId="0" fillId="0" borderId="53" xfId="0" applyNumberFormat="1" applyBorder="1" applyAlignment="1">
      <alignment horizontal="center"/>
    </xf>
    <xf numFmtId="10" fontId="0" fillId="0" borderId="54" xfId="0" applyNumberFormat="1" applyBorder="1" applyAlignment="1">
      <alignment horizontal="center"/>
    </xf>
    <xf numFmtId="10" fontId="0" fillId="0" borderId="55" xfId="0" applyNumberFormat="1" applyBorder="1" applyAlignment="1">
      <alignment horizontal="center"/>
    </xf>
    <xf numFmtId="167" fontId="0" fillId="0" borderId="0" xfId="0" applyNumberFormat="1" applyAlignment="1">
      <alignment horizontal="center"/>
    </xf>
    <xf numFmtId="10" fontId="0" fillId="0" borderId="54" xfId="60" applyNumberFormat="1" applyFont="1" applyBorder="1" applyAlignment="1">
      <alignment horizontal="center"/>
    </xf>
    <xf numFmtId="10" fontId="0" fillId="0" borderId="54" xfId="60" applyNumberFormat="1" applyFont="1" applyFill="1" applyBorder="1" applyAlignment="1">
      <alignment horizontal="center"/>
    </xf>
    <xf numFmtId="167" fontId="0" fillId="0" borderId="0" xfId="0" applyNumberFormat="1" applyFill="1" applyAlignment="1">
      <alignment horizontal="center"/>
    </xf>
    <xf numFmtId="0" fontId="0" fillId="0" borderId="0" xfId="0" applyFill="1" applyBorder="1" applyAlignment="1">
      <alignment horizontal="left"/>
    </xf>
    <xf numFmtId="0" fontId="0" fillId="0" borderId="80" xfId="0" applyBorder="1" applyAlignment="1">
      <alignment horizontal="right"/>
    </xf>
    <xf numFmtId="0" fontId="0" fillId="26" borderId="11" xfId="57" applyNumberFormat="1" applyFont="1" applyFill="1" applyBorder="1" applyAlignment="1" applyProtection="1">
      <alignment/>
      <protection locked="0"/>
    </xf>
    <xf numFmtId="0" fontId="0" fillId="26" borderId="11" xfId="0" applyFill="1" applyBorder="1" applyAlignment="1" applyProtection="1">
      <alignment/>
      <protection locked="0"/>
    </xf>
    <xf numFmtId="4" fontId="0" fillId="0" borderId="52" xfId="42" applyNumberFormat="1" applyFont="1" applyBorder="1" applyAlignment="1">
      <alignment horizontal="center"/>
    </xf>
    <xf numFmtId="4" fontId="0" fillId="0" borderId="0" xfId="42" applyNumberFormat="1" applyFont="1" applyBorder="1" applyAlignment="1">
      <alignment horizontal="center"/>
    </xf>
    <xf numFmtId="4" fontId="0" fillId="0" borderId="0" xfId="42" applyNumberFormat="1" applyFont="1" applyFill="1" applyBorder="1" applyAlignment="1">
      <alignment horizontal="center"/>
    </xf>
    <xf numFmtId="4" fontId="0" fillId="0" borderId="10" xfId="42" applyNumberFormat="1" applyFont="1" applyBorder="1" applyAlignment="1">
      <alignment horizontal="center"/>
    </xf>
    <xf numFmtId="4" fontId="0" fillId="0" borderId="52" xfId="0" applyNumberFormat="1" applyBorder="1" applyAlignment="1">
      <alignment horizontal="center"/>
    </xf>
    <xf numFmtId="4" fontId="0" fillId="0" borderId="10" xfId="0" applyNumberFormat="1" applyBorder="1" applyAlignment="1">
      <alignment horizontal="center"/>
    </xf>
    <xf numFmtId="0" fontId="16" fillId="0" borderId="0" xfId="0" applyFont="1" applyFill="1" applyBorder="1" applyAlignment="1">
      <alignment horizontal="right"/>
    </xf>
    <xf numFmtId="0" fontId="16" fillId="0" borderId="0" xfId="0" applyFont="1" applyAlignment="1">
      <alignment horizontal="right"/>
    </xf>
    <xf numFmtId="0" fontId="2" fillId="0" borderId="0" xfId="0" applyFont="1" applyAlignment="1">
      <alignment horizontal="right"/>
    </xf>
    <xf numFmtId="0" fontId="22" fillId="0" borderId="0" xfId="0" applyFont="1" applyFill="1" applyBorder="1" applyAlignment="1">
      <alignment horizontal="left"/>
    </xf>
    <xf numFmtId="0" fontId="23" fillId="0" borderId="0" xfId="0" applyFont="1" applyBorder="1" applyAlignment="1">
      <alignment/>
    </xf>
    <xf numFmtId="0" fontId="0" fillId="9" borderId="0" xfId="0" applyFill="1" applyAlignment="1">
      <alignment/>
    </xf>
    <xf numFmtId="0" fontId="24" fillId="0" borderId="0" xfId="0" applyFont="1" applyAlignment="1">
      <alignment/>
    </xf>
    <xf numFmtId="0" fontId="25" fillId="0" borderId="0" xfId="53" applyFont="1" applyAlignment="1" applyProtection="1">
      <alignment/>
      <protection/>
    </xf>
    <xf numFmtId="0" fontId="24" fillId="0" borderId="0" xfId="0" applyFont="1" applyAlignment="1">
      <alignment/>
    </xf>
    <xf numFmtId="0" fontId="10" fillId="7" borderId="1" xfId="54" applyAlignment="1">
      <alignment/>
    </xf>
    <xf numFmtId="0" fontId="0" fillId="26" borderId="1" xfId="0" applyFill="1" applyBorder="1" applyAlignment="1">
      <alignment/>
    </xf>
    <xf numFmtId="0" fontId="25" fillId="0" borderId="0" xfId="53" applyFont="1" applyAlignment="1" applyProtection="1">
      <alignment/>
      <protection locked="0"/>
    </xf>
    <xf numFmtId="0" fontId="24" fillId="0" borderId="0" xfId="0" applyFont="1" applyAlignment="1" applyProtection="1">
      <alignment/>
      <protection locked="0"/>
    </xf>
    <xf numFmtId="0" fontId="24" fillId="0" borderId="0" xfId="0" applyFont="1" applyAlignment="1" applyProtection="1">
      <alignment/>
      <protection locked="0"/>
    </xf>
    <xf numFmtId="0" fontId="0" fillId="0" borderId="0" xfId="0" applyAlignment="1" applyProtection="1">
      <alignment/>
      <protection locked="0"/>
    </xf>
    <xf numFmtId="164" fontId="0" fillId="0" borderId="0" xfId="0" applyNumberFormat="1" applyAlignment="1" applyProtection="1">
      <alignment horizontal="left"/>
      <protection locked="0"/>
    </xf>
    <xf numFmtId="0" fontId="7" fillId="0" borderId="0" xfId="53" applyAlignment="1" applyProtection="1">
      <alignment/>
      <protection locked="0"/>
    </xf>
    <xf numFmtId="0" fontId="0" fillId="26" borderId="67" xfId="0" applyFill="1" applyBorder="1" applyAlignment="1" applyProtection="1">
      <alignment horizontal="center"/>
      <protection locked="0"/>
    </xf>
    <xf numFmtId="0" fontId="0" fillId="26" borderId="25" xfId="0" applyFill="1" applyBorder="1" applyAlignment="1" applyProtection="1">
      <alignment horizontal="center"/>
      <protection locked="0"/>
    </xf>
    <xf numFmtId="0" fontId="0" fillId="26" borderId="81" xfId="0" applyFill="1" applyBorder="1" applyAlignment="1" applyProtection="1">
      <alignment horizontal="center"/>
      <protection locked="0"/>
    </xf>
    <xf numFmtId="0" fontId="0" fillId="26" borderId="67" xfId="0" applyFill="1" applyBorder="1" applyAlignment="1" applyProtection="1">
      <alignment horizontal="center" vertical="center"/>
      <protection locked="0"/>
    </xf>
    <xf numFmtId="0" fontId="0" fillId="26" borderId="82" xfId="0" applyFill="1" applyBorder="1" applyAlignment="1" applyProtection="1">
      <alignment horizontal="center"/>
      <protection locked="0"/>
    </xf>
    <xf numFmtId="165" fontId="10" fillId="7" borderId="11" xfId="54" applyNumberFormat="1" applyBorder="1" applyAlignment="1" applyProtection="1">
      <alignment horizontal="center"/>
      <protection locked="0"/>
    </xf>
    <xf numFmtId="165" fontId="7" fillId="0" borderId="0" xfId="53" applyNumberFormat="1" applyAlignment="1" applyProtection="1">
      <alignment/>
      <protection locked="0"/>
    </xf>
    <xf numFmtId="165" fontId="7" fillId="0" borderId="0" xfId="53" applyNumberFormat="1" applyBorder="1" applyAlignment="1" applyProtection="1">
      <alignment horizontal="center"/>
      <protection locked="0"/>
    </xf>
    <xf numFmtId="165" fontId="10" fillId="7" borderId="83" xfId="54" applyNumberFormat="1" applyBorder="1" applyAlignment="1" applyProtection="1">
      <alignment/>
      <protection locked="0"/>
    </xf>
    <xf numFmtId="165" fontId="10" fillId="7" borderId="1" xfId="54" applyNumberFormat="1" applyAlignment="1" applyProtection="1">
      <alignment horizontal="center"/>
      <protection locked="0"/>
    </xf>
    <xf numFmtId="3" fontId="8" fillId="26" borderId="11" xfId="56" applyNumberFormat="1" applyFill="1" applyBorder="1" applyAlignment="1" applyProtection="1">
      <alignment horizontal="center"/>
      <protection locked="0"/>
    </xf>
    <xf numFmtId="3" fontId="8" fillId="26" borderId="11" xfId="56" applyNumberFormat="1" applyFill="1" applyBorder="1" applyAlignment="1" applyProtection="1">
      <alignment horizontal="right"/>
      <protection locked="0"/>
    </xf>
    <xf numFmtId="165" fontId="8" fillId="26" borderId="11" xfId="56" applyNumberFormat="1" applyFill="1" applyBorder="1" applyAlignment="1" applyProtection="1">
      <alignment horizontal="center"/>
      <protection locked="0"/>
    </xf>
    <xf numFmtId="165" fontId="8" fillId="26" borderId="11" xfId="56" applyNumberFormat="1" applyFill="1" applyBorder="1" applyAlignment="1" applyProtection="1">
      <alignment horizontal="right"/>
      <protection locked="0"/>
    </xf>
    <xf numFmtId="165" fontId="10" fillId="7" borderId="1" xfId="54" applyNumberFormat="1" applyAlignment="1" applyProtection="1">
      <alignment horizontal="right"/>
      <protection locked="0"/>
    </xf>
    <xf numFmtId="2" fontId="0" fillId="0" borderId="0" xfId="0" applyNumberFormat="1" applyAlignment="1" applyProtection="1">
      <alignment/>
      <protection locked="0"/>
    </xf>
    <xf numFmtId="0" fontId="0" fillId="0" borderId="0" xfId="0" applyNumberFormat="1" applyAlignment="1" applyProtection="1">
      <alignment/>
      <protection locked="0"/>
    </xf>
    <xf numFmtId="1" fontId="0" fillId="0" borderId="0" xfId="0" applyNumberFormat="1" applyAlignment="1" applyProtection="1">
      <alignment/>
      <protection locked="0"/>
    </xf>
    <xf numFmtId="4" fontId="0" fillId="0" borderId="0" xfId="0" applyNumberFormat="1" applyAlignment="1" applyProtection="1">
      <alignment/>
      <protection locked="0"/>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0" xfId="0" applyAlignment="1" applyProtection="1">
      <alignment/>
      <protection/>
    </xf>
    <xf numFmtId="0" fontId="17" fillId="0" borderId="0" xfId="0" applyFont="1" applyAlignment="1" applyProtection="1">
      <alignment horizontal="center"/>
      <protection/>
    </xf>
    <xf numFmtId="0" fontId="0" fillId="0" borderId="51" xfId="0" applyBorder="1" applyAlignment="1" applyProtection="1">
      <alignment horizontal="right"/>
      <protection/>
    </xf>
    <xf numFmtId="39" fontId="0" fillId="0" borderId="52" xfId="0" applyNumberFormat="1" applyBorder="1" applyAlignment="1" applyProtection="1">
      <alignment/>
      <protection/>
    </xf>
    <xf numFmtId="39" fontId="0" fillId="0" borderId="53" xfId="0" applyNumberFormat="1" applyBorder="1" applyAlignment="1" applyProtection="1">
      <alignment/>
      <protection/>
    </xf>
    <xf numFmtId="0" fontId="0" fillId="0" borderId="50" xfId="0" applyBorder="1" applyAlignment="1" applyProtection="1">
      <alignment horizontal="right"/>
      <protection/>
    </xf>
    <xf numFmtId="39" fontId="0" fillId="0" borderId="0" xfId="0" applyNumberFormat="1" applyBorder="1" applyAlignment="1" applyProtection="1">
      <alignment/>
      <protection/>
    </xf>
    <xf numFmtId="39" fontId="0" fillId="0" borderId="54" xfId="0" applyNumberFormat="1" applyBorder="1" applyAlignment="1" applyProtection="1">
      <alignment/>
      <protection/>
    </xf>
    <xf numFmtId="39" fontId="0" fillId="0" borderId="0" xfId="42" applyNumberFormat="1" applyFont="1" applyBorder="1" applyAlignment="1" applyProtection="1">
      <alignment horizontal="right"/>
      <protection/>
    </xf>
    <xf numFmtId="0" fontId="0" fillId="0" borderId="78" xfId="0" applyBorder="1" applyAlignment="1" applyProtection="1">
      <alignment horizontal="right"/>
      <protection/>
    </xf>
    <xf numFmtId="39" fontId="0" fillId="0" borderId="92" xfId="0" applyNumberFormat="1" applyBorder="1" applyAlignment="1" applyProtection="1">
      <alignment/>
      <protection/>
    </xf>
    <xf numFmtId="39" fontId="0" fillId="0" borderId="93" xfId="0" applyNumberFormat="1" applyBorder="1" applyAlignment="1" applyProtection="1">
      <alignment/>
      <protection/>
    </xf>
    <xf numFmtId="0" fontId="0" fillId="0" borderId="0" xfId="0" applyFill="1" applyBorder="1" applyAlignment="1" applyProtection="1">
      <alignment horizontal="right"/>
      <protection/>
    </xf>
    <xf numFmtId="0" fontId="2" fillId="0" borderId="0" xfId="0" applyFont="1" applyAlignment="1" applyProtection="1">
      <alignment/>
      <protection/>
    </xf>
    <xf numFmtId="0" fontId="0" fillId="0" borderId="0" xfId="0" applyAlignment="1" applyProtection="1">
      <alignment horizontal="right"/>
      <protection locked="0"/>
    </xf>
    <xf numFmtId="169" fontId="10" fillId="7" borderId="1" xfId="54" applyNumberFormat="1" applyAlignment="1" applyProtection="1">
      <alignment horizontal="center"/>
      <protection locked="0"/>
    </xf>
    <xf numFmtId="165" fontId="10" fillId="27" borderId="11" xfId="54" applyNumberFormat="1" applyFill="1" applyBorder="1" applyAlignment="1" applyProtection="1">
      <alignment horizontal="center"/>
      <protection/>
    </xf>
    <xf numFmtId="165" fontId="0" fillId="0" borderId="0" xfId="57" applyFont="1" applyBorder="1" applyAlignment="1">
      <alignment horizontal="right"/>
      <protection/>
    </xf>
    <xf numFmtId="165" fontId="0" fillId="0" borderId="0" xfId="0" applyNumberFormat="1" applyFont="1" applyBorder="1" applyAlignment="1">
      <alignment horizontal="right"/>
    </xf>
    <xf numFmtId="4" fontId="0" fillId="0" borderId="51" xfId="0" applyNumberFormat="1" applyFont="1" applyBorder="1" applyAlignment="1">
      <alignment horizontal="center"/>
    </xf>
    <xf numFmtId="0" fontId="0" fillId="0" borderId="0" xfId="0" applyFill="1" applyBorder="1" applyAlignment="1">
      <alignment/>
    </xf>
    <xf numFmtId="0" fontId="6" fillId="0" borderId="0" xfId="0" applyFont="1" applyBorder="1" applyAlignment="1">
      <alignment horizontal="center"/>
    </xf>
    <xf numFmtId="10" fontId="0" fillId="0" borderId="0" xfId="0" applyNumberFormat="1" applyBorder="1" applyAlignment="1">
      <alignment horizontal="center"/>
    </xf>
    <xf numFmtId="0" fontId="0" fillId="0" borderId="94" xfId="0" applyBorder="1" applyAlignment="1">
      <alignment horizontal="center" wrapText="1"/>
    </xf>
    <xf numFmtId="4" fontId="0" fillId="0" borderId="95" xfId="0" applyNumberFormat="1" applyFont="1" applyBorder="1" applyAlignment="1">
      <alignment horizontal="center"/>
    </xf>
    <xf numFmtId="4" fontId="0" fillId="0" borderId="50" xfId="0" applyNumberFormat="1" applyFont="1" applyBorder="1" applyAlignment="1">
      <alignment horizontal="center"/>
    </xf>
    <xf numFmtId="4" fontId="0" fillId="0" borderId="96" xfId="0" applyNumberFormat="1" applyFont="1" applyBorder="1" applyAlignment="1">
      <alignment horizontal="center"/>
    </xf>
    <xf numFmtId="178" fontId="0" fillId="0" borderId="50" xfId="0" applyNumberFormat="1" applyBorder="1" applyAlignment="1">
      <alignment horizontal="center"/>
    </xf>
    <xf numFmtId="4" fontId="0" fillId="0" borderId="80" xfId="0" applyNumberFormat="1" applyBorder="1" applyAlignment="1">
      <alignment horizontal="center"/>
    </xf>
    <xf numFmtId="0" fontId="0" fillId="0" borderId="97" xfId="0" applyBorder="1" applyAlignment="1">
      <alignment/>
    </xf>
    <xf numFmtId="4" fontId="0" fillId="0" borderId="56" xfId="0" applyNumberFormat="1" applyFont="1" applyBorder="1" applyAlignment="1">
      <alignment horizontal="center"/>
    </xf>
    <xf numFmtId="4" fontId="0" fillId="0" borderId="98" xfId="0" applyNumberFormat="1" applyFont="1" applyBorder="1" applyAlignment="1">
      <alignment horizontal="center"/>
    </xf>
    <xf numFmtId="0" fontId="0" fillId="26" borderId="99" xfId="0" applyFill="1" applyBorder="1" applyAlignment="1" applyProtection="1">
      <alignment horizontal="center" vertical="center" wrapText="1"/>
      <protection locked="0"/>
    </xf>
    <xf numFmtId="0" fontId="0" fillId="26" borderId="99" xfId="0" applyFill="1" applyBorder="1" applyAlignment="1" applyProtection="1">
      <alignment horizontal="center"/>
      <protection locked="0"/>
    </xf>
    <xf numFmtId="0" fontId="0" fillId="26" borderId="97" xfId="0" applyFill="1" applyBorder="1" applyAlignment="1" applyProtection="1">
      <alignment horizontal="center"/>
      <protection locked="0"/>
    </xf>
    <xf numFmtId="0" fontId="0" fillId="26" borderId="99" xfId="0" applyFill="1" applyBorder="1" applyAlignment="1" applyProtection="1">
      <alignment horizontal="center" vertical="center"/>
      <protection locked="0"/>
    </xf>
    <xf numFmtId="0" fontId="0" fillId="26" borderId="97" xfId="0" applyFill="1" applyBorder="1" applyAlignment="1" applyProtection="1">
      <alignment horizontal="center" vertical="center"/>
      <protection locked="0"/>
    </xf>
    <xf numFmtId="0" fontId="0" fillId="0" borderId="0" xfId="0" applyBorder="1" applyAlignment="1">
      <alignment horizontal="right"/>
    </xf>
    <xf numFmtId="0" fontId="20" fillId="0" borderId="100" xfId="0" applyFont="1" applyBorder="1" applyAlignment="1">
      <alignment/>
    </xf>
    <xf numFmtId="165" fontId="20" fillId="7" borderId="100" xfId="54" applyNumberFormat="1" applyFont="1" applyBorder="1" applyAlignment="1" applyProtection="1">
      <alignment/>
      <protection locked="0"/>
    </xf>
    <xf numFmtId="0" fontId="26" fillId="0" borderId="100" xfId="0" applyFont="1" applyBorder="1" applyAlignment="1">
      <alignment/>
    </xf>
    <xf numFmtId="0" fontId="2" fillId="0" borderId="100" xfId="0" applyFont="1" applyBorder="1" applyAlignment="1">
      <alignment/>
    </xf>
    <xf numFmtId="0" fontId="0" fillId="0" borderId="100" xfId="0" applyBorder="1" applyAlignment="1">
      <alignment/>
    </xf>
    <xf numFmtId="165" fontId="10" fillId="7" borderId="100" xfId="54" applyNumberFormat="1" applyBorder="1" applyAlignment="1" applyProtection="1">
      <alignment/>
      <protection locked="0"/>
    </xf>
    <xf numFmtId="0" fontId="0" fillId="0" borderId="101" xfId="0" applyBorder="1" applyAlignment="1">
      <alignment/>
    </xf>
    <xf numFmtId="0" fontId="0" fillId="0" borderId="102" xfId="0" applyBorder="1" applyAlignment="1">
      <alignment/>
    </xf>
    <xf numFmtId="0" fontId="0" fillId="0" borderId="102" xfId="0" applyBorder="1" applyAlignment="1">
      <alignment/>
    </xf>
    <xf numFmtId="0" fontId="0" fillId="0" borderId="101" xfId="0" applyBorder="1" applyAlignment="1">
      <alignment/>
    </xf>
    <xf numFmtId="165" fontId="0" fillId="0" borderId="24" xfId="57" applyFont="1" applyBorder="1">
      <alignment/>
      <protection/>
    </xf>
    <xf numFmtId="165" fontId="0" fillId="0" borderId="24" xfId="57" applyFont="1" applyBorder="1" applyAlignment="1">
      <alignment horizontal="right"/>
      <protection/>
    </xf>
    <xf numFmtId="1" fontId="0" fillId="0" borderId="24" xfId="57" applyNumberFormat="1" applyFont="1" applyBorder="1">
      <alignment/>
      <protection/>
    </xf>
    <xf numFmtId="165" fontId="0" fillId="6" borderId="103" xfId="19" applyNumberFormat="1" applyBorder="1" applyAlignment="1">
      <alignment horizontal="center"/>
    </xf>
    <xf numFmtId="1" fontId="0" fillId="0" borderId="104" xfId="57" applyNumberFormat="1" applyFont="1" applyBorder="1">
      <alignment/>
      <protection/>
    </xf>
    <xf numFmtId="165" fontId="0" fillId="6" borderId="103" xfId="19" applyNumberFormat="1" applyBorder="1" applyAlignment="1">
      <alignment/>
    </xf>
    <xf numFmtId="165" fontId="0" fillId="6" borderId="103" xfId="19" applyNumberFormat="1" applyBorder="1" applyAlignment="1">
      <alignment wrapText="1"/>
    </xf>
    <xf numFmtId="165" fontId="0" fillId="6" borderId="103" xfId="19" applyNumberFormat="1" applyBorder="1" applyAlignment="1">
      <alignment/>
    </xf>
    <xf numFmtId="165" fontId="0" fillId="0" borderId="105" xfId="57" applyFont="1" applyBorder="1">
      <alignment/>
      <protection/>
    </xf>
    <xf numFmtId="165" fontId="0" fillId="0" borderId="106" xfId="57" applyFont="1" applyBorder="1">
      <alignment/>
      <protection/>
    </xf>
    <xf numFmtId="165" fontId="0" fillId="0" borderId="107" xfId="57" applyFont="1" applyBorder="1">
      <alignment/>
      <protection/>
    </xf>
    <xf numFmtId="165" fontId="0" fillId="0" borderId="108" xfId="57" applyFont="1" applyBorder="1">
      <alignment/>
      <protection/>
    </xf>
    <xf numFmtId="165" fontId="0" fillId="26" borderId="11" xfId="57" applyFont="1" applyFill="1" applyBorder="1" applyProtection="1">
      <alignment/>
      <protection locked="0"/>
    </xf>
    <xf numFmtId="4" fontId="0" fillId="26" borderId="11" xfId="57" applyNumberFormat="1" applyFont="1" applyFill="1" applyBorder="1" applyProtection="1">
      <alignment/>
      <protection locked="0"/>
    </xf>
    <xf numFmtId="4" fontId="0" fillId="0" borderId="11" xfId="0" applyNumberFormat="1" applyBorder="1" applyAlignment="1">
      <alignment/>
    </xf>
    <xf numFmtId="179" fontId="0" fillId="0" borderId="11" xfId="0" applyNumberFormat="1" applyBorder="1" applyAlignment="1">
      <alignment/>
    </xf>
    <xf numFmtId="0" fontId="0" fillId="0" borderId="23" xfId="0" applyBorder="1" applyAlignment="1">
      <alignment/>
    </xf>
    <xf numFmtId="0" fontId="2" fillId="0" borderId="25" xfId="0" applyFont="1" applyBorder="1" applyAlignment="1">
      <alignment/>
    </xf>
    <xf numFmtId="4" fontId="0" fillId="26" borderId="11" xfId="0" applyNumberFormat="1" applyFill="1" applyBorder="1" applyAlignment="1" applyProtection="1">
      <alignment/>
      <protection locked="0"/>
    </xf>
    <xf numFmtId="165" fontId="2" fillId="27" borderId="11" xfId="57" applyFont="1" applyFill="1" applyBorder="1">
      <alignment/>
      <protection/>
    </xf>
    <xf numFmtId="165" fontId="0" fillId="27" borderId="11" xfId="57" applyFont="1" applyFill="1" applyBorder="1">
      <alignment/>
      <protection/>
    </xf>
    <xf numFmtId="165" fontId="0" fillId="27" borderId="25" xfId="0" applyNumberFormat="1" applyFill="1" applyBorder="1" applyAlignment="1">
      <alignment/>
    </xf>
    <xf numFmtId="166" fontId="0" fillId="0" borderId="11" xfId="0" applyNumberFormat="1" applyFill="1" applyBorder="1" applyAlignment="1">
      <alignment horizontal="center" wrapText="1"/>
    </xf>
    <xf numFmtId="4" fontId="0" fillId="0" borderId="11" xfId="0" applyNumberFormat="1" applyFill="1" applyBorder="1" applyAlignment="1">
      <alignment horizontal="center"/>
    </xf>
    <xf numFmtId="166" fontId="0" fillId="0" borderId="11" xfId="0" applyNumberFormat="1" applyFill="1" applyBorder="1" applyAlignment="1">
      <alignment horizontal="center"/>
    </xf>
    <xf numFmtId="0" fontId="0" fillId="6" borderId="11" xfId="19" applyBorder="1" applyAlignment="1">
      <alignment horizontal="center" wrapText="1"/>
    </xf>
    <xf numFmtId="4" fontId="0" fillId="6" borderId="11" xfId="19" applyNumberFormat="1" applyBorder="1" applyAlignment="1">
      <alignment/>
    </xf>
    <xf numFmtId="165" fontId="0" fillId="6" borderId="24" xfId="19" applyNumberFormat="1" applyBorder="1" applyAlignment="1">
      <alignment/>
    </xf>
    <xf numFmtId="165" fontId="0" fillId="0" borderId="15" xfId="57" applyFont="1" applyBorder="1" applyAlignment="1">
      <alignment horizontal="left"/>
      <protection/>
    </xf>
    <xf numFmtId="165" fontId="0" fillId="0" borderId="51" xfId="57" applyFont="1" applyBorder="1" applyAlignment="1">
      <alignment horizontal="left"/>
      <protection/>
    </xf>
    <xf numFmtId="0" fontId="0" fillId="0" borderId="71" xfId="0" applyBorder="1" applyAlignment="1">
      <alignment/>
    </xf>
    <xf numFmtId="165" fontId="7" fillId="0" borderId="0" xfId="53" applyNumberFormat="1" applyBorder="1" applyAlignment="1" applyProtection="1">
      <alignment horizontal="left"/>
      <protection/>
    </xf>
    <xf numFmtId="165" fontId="2" fillId="27" borderId="11" xfId="57" applyFont="1" applyFill="1" applyBorder="1" applyAlignment="1">
      <alignment horizontal="center" wrapText="1"/>
      <protection/>
    </xf>
    <xf numFmtId="4" fontId="2" fillId="27" borderId="11" xfId="0" applyNumberFormat="1" applyFont="1" applyFill="1" applyBorder="1" applyAlignment="1">
      <alignment horizontal="center" wrapText="1"/>
    </xf>
    <xf numFmtId="165" fontId="2" fillId="27" borderId="11" xfId="0" applyNumberFormat="1" applyFont="1" applyFill="1" applyBorder="1" applyAlignment="1">
      <alignment horizontal="center" wrapText="1"/>
    </xf>
    <xf numFmtId="4" fontId="0" fillId="27" borderId="11" xfId="0" applyNumberFormat="1" applyFill="1" applyBorder="1" applyAlignment="1" applyProtection="1">
      <alignment/>
      <protection/>
    </xf>
    <xf numFmtId="165" fontId="0" fillId="6" borderId="11" xfId="19" applyNumberFormat="1" applyBorder="1" applyAlignment="1" applyProtection="1">
      <alignment/>
      <protection/>
    </xf>
    <xf numFmtId="165" fontId="0" fillId="6" borderId="11" xfId="19" applyNumberFormat="1" applyBorder="1" applyAlignment="1" applyProtection="1">
      <alignment horizontal="center" wrapText="1"/>
      <protection/>
    </xf>
    <xf numFmtId="175" fontId="0" fillId="6" borderId="11" xfId="19" applyNumberFormat="1" applyBorder="1" applyAlignment="1" applyProtection="1">
      <alignment horizontal="right"/>
      <protection/>
    </xf>
    <xf numFmtId="0" fontId="13" fillId="12" borderId="0" xfId="0" applyFont="1" applyFill="1" applyAlignment="1">
      <alignment/>
    </xf>
    <xf numFmtId="0" fontId="0" fillId="12" borderId="0" xfId="0" applyFill="1" applyAlignment="1">
      <alignment/>
    </xf>
    <xf numFmtId="165" fontId="17" fillId="0" borderId="58" xfId="57" applyFont="1" applyBorder="1" applyAlignment="1">
      <alignment horizontal="center"/>
      <protection/>
    </xf>
    <xf numFmtId="165" fontId="17" fillId="0" borderId="59" xfId="57" applyFont="1" applyBorder="1" applyAlignment="1">
      <alignment horizontal="center"/>
      <protection/>
    </xf>
    <xf numFmtId="0" fontId="0" fillId="0" borderId="0" xfId="0" applyAlignment="1">
      <alignment wrapText="1"/>
    </xf>
    <xf numFmtId="0" fontId="13" fillId="21" borderId="0" xfId="0" applyFont="1" applyFill="1" applyAlignment="1">
      <alignment/>
    </xf>
    <xf numFmtId="0" fontId="0" fillId="21" borderId="0" xfId="0" applyFill="1" applyAlignment="1">
      <alignment/>
    </xf>
    <xf numFmtId="165" fontId="16" fillId="0" borderId="58" xfId="0" applyNumberFormat="1" applyFont="1" applyBorder="1" applyAlignment="1">
      <alignment horizontal="center"/>
    </xf>
    <xf numFmtId="165" fontId="0" fillId="0" borderId="58" xfId="0" applyNumberFormat="1" applyBorder="1" applyAlignment="1">
      <alignment horizontal="center"/>
    </xf>
    <xf numFmtId="165" fontId="0" fillId="0" borderId="59" xfId="0" applyNumberFormat="1" applyBorder="1" applyAlignment="1">
      <alignment horizontal="center"/>
    </xf>
    <xf numFmtId="165" fontId="16" fillId="0" borderId="59" xfId="0" applyNumberFormat="1" applyFont="1" applyBorder="1" applyAlignment="1">
      <alignment horizontal="center"/>
    </xf>
    <xf numFmtId="0" fontId="0" fillId="0" borderId="50" xfId="0" applyBorder="1" applyAlignment="1">
      <alignment horizontal="left" wrapText="1"/>
    </xf>
    <xf numFmtId="0" fontId="0" fillId="0" borderId="0" xfId="0" applyAlignment="1">
      <alignment horizontal="left" wrapText="1"/>
    </xf>
    <xf numFmtId="0" fontId="0" fillId="0" borderId="0" xfId="0" applyNumberFormat="1" applyAlignment="1">
      <alignment horizontal="center"/>
    </xf>
    <xf numFmtId="0" fontId="0" fillId="0" borderId="0" xfId="0" applyAlignment="1">
      <alignment horizontal="center"/>
    </xf>
    <xf numFmtId="165" fontId="0" fillId="0" borderId="0" xfId="0" applyNumberFormat="1" applyBorder="1" applyAlignment="1">
      <alignment horizontal="center"/>
    </xf>
    <xf numFmtId="165" fontId="0" fillId="0" borderId="0" xfId="57" applyFont="1" applyAlignment="1">
      <alignment horizontal="center" wrapText="1"/>
      <protection/>
    </xf>
    <xf numFmtId="0" fontId="0" fillId="0" borderId="0" xfId="0" applyAlignment="1">
      <alignment horizontal="center" wrapText="1"/>
    </xf>
    <xf numFmtId="165" fontId="0" fillId="0" borderId="0" xfId="57" applyFont="1" applyAlignment="1">
      <alignment horizontal="left" wrapText="1"/>
      <protection/>
    </xf>
    <xf numFmtId="0" fontId="13" fillId="9" borderId="0" xfId="0" applyFont="1" applyFill="1" applyAlignment="1">
      <alignment/>
    </xf>
    <xf numFmtId="0" fontId="0" fillId="9" borderId="0" xfId="0" applyFill="1" applyAlignment="1">
      <alignment/>
    </xf>
    <xf numFmtId="0" fontId="25" fillId="0" borderId="0" xfId="53" applyFont="1" applyAlignment="1" applyProtection="1">
      <alignment/>
      <protection locked="0"/>
    </xf>
    <xf numFmtId="0" fontId="25" fillId="0" borderId="0" xfId="53" applyFont="1" applyAlignment="1" applyProtection="1">
      <alignment horizontal="left"/>
      <protection locked="0"/>
    </xf>
    <xf numFmtId="0" fontId="15" fillId="0" borderId="0" xfId="0" applyFont="1" applyAlignment="1">
      <alignment/>
    </xf>
    <xf numFmtId="0" fontId="0" fillId="0" borderId="0" xfId="0" applyAlignment="1">
      <alignment/>
    </xf>
    <xf numFmtId="0" fontId="27" fillId="0" borderId="56" xfId="0" applyFont="1" applyBorder="1" applyAlignment="1">
      <alignment/>
    </xf>
    <xf numFmtId="0" fontId="0" fillId="0" borderId="56" xfId="0" applyBorder="1" applyAlignment="1">
      <alignment/>
    </xf>
    <xf numFmtId="0" fontId="27" fillId="0" borderId="56" xfId="0" applyFont="1" applyBorder="1" applyAlignment="1">
      <alignment horizontal="left"/>
    </xf>
    <xf numFmtId="164" fontId="27" fillId="0" borderId="56" xfId="0" applyNumberFormat="1" applyFont="1" applyBorder="1" applyAlignment="1">
      <alignment horizontal="left"/>
    </xf>
    <xf numFmtId="0" fontId="0" fillId="0" borderId="0" xfId="0" applyAlignment="1" applyProtection="1">
      <alignment/>
      <protection locked="0"/>
    </xf>
    <xf numFmtId="0" fontId="17" fillId="0" borderId="0" xfId="0" applyFont="1" applyAlignment="1" applyProtection="1">
      <alignment horizontal="center" wrapText="1"/>
      <protection/>
    </xf>
    <xf numFmtId="0" fontId="0" fillId="0" borderId="0" xfId="0" applyAlignment="1" applyProtection="1">
      <alignment horizontal="center" wrapText="1"/>
      <protection/>
    </xf>
    <xf numFmtId="0" fontId="17" fillId="0" borderId="10" xfId="0" applyFont="1" applyBorder="1" applyAlignment="1" applyProtection="1">
      <alignment horizontal="center" wrapText="1"/>
      <protection/>
    </xf>
    <xf numFmtId="0" fontId="13" fillId="4" borderId="0" xfId="0" applyFont="1" applyFill="1" applyAlignment="1">
      <alignment horizontal="left" vertical="center"/>
    </xf>
    <xf numFmtId="165" fontId="0" fillId="0" borderId="0" xfId="0" applyNumberFormat="1" applyAlignment="1">
      <alignment horizontal="left" wrapText="1"/>
    </xf>
    <xf numFmtId="0" fontId="13" fillId="19" borderId="0" xfId="0" applyFont="1" applyFill="1" applyAlignment="1">
      <alignment/>
    </xf>
    <xf numFmtId="0" fontId="13" fillId="13" borderId="0" xfId="0" applyFont="1" applyFill="1" applyAlignment="1">
      <alignment/>
    </xf>
    <xf numFmtId="165" fontId="17" fillId="0" borderId="58" xfId="0" applyNumberFormat="1" applyFont="1" applyBorder="1" applyAlignment="1">
      <alignment horizontal="center"/>
    </xf>
    <xf numFmtId="165" fontId="17" fillId="0" borderId="59" xfId="0" applyNumberFormat="1" applyFont="1" applyBorder="1" applyAlignment="1">
      <alignment horizontal="center"/>
    </xf>
    <xf numFmtId="0" fontId="2" fillId="27" borderId="11" xfId="57" applyNumberFormat="1" applyFont="1" applyFill="1" applyBorder="1" applyAlignment="1">
      <alignment horizontal="left" wrapText="1"/>
      <protection/>
    </xf>
    <xf numFmtId="0" fontId="0" fillId="27" borderId="11" xfId="0" applyNumberFormat="1" applyFill="1" applyBorder="1" applyAlignment="1">
      <alignment horizontal="left" wrapText="1"/>
    </xf>
    <xf numFmtId="165" fontId="0" fillId="0" borderId="13" xfId="0" applyNumberFormat="1" applyBorder="1" applyAlignment="1">
      <alignment horizontal="right"/>
    </xf>
    <xf numFmtId="165" fontId="0" fillId="0" borderId="10" xfId="0" applyNumberFormat="1" applyBorder="1" applyAlignment="1">
      <alignment horizontal="right"/>
    </xf>
    <xf numFmtId="0" fontId="13" fillId="24" borderId="0" xfId="0" applyFont="1" applyFill="1" applyAlignment="1">
      <alignment/>
    </xf>
    <xf numFmtId="165" fontId="0" fillId="0" borderId="50" xfId="0" applyNumberFormat="1" applyBorder="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13" fillId="18" borderId="0" xfId="0" applyFont="1" applyFill="1" applyAlignment="1">
      <alignment/>
    </xf>
    <xf numFmtId="0" fontId="13" fillId="22" borderId="0" xfId="0" applyFont="1" applyFill="1" applyAlignment="1">
      <alignment/>
    </xf>
    <xf numFmtId="165" fontId="17" fillId="0" borderId="0" xfId="0" applyNumberFormat="1" applyFont="1" applyBorder="1" applyAlignment="1">
      <alignment horizontal="center"/>
    </xf>
    <xf numFmtId="165" fontId="0" fillId="0" borderId="10" xfId="0" applyNumberFormat="1" applyBorder="1" applyAlignment="1">
      <alignment horizontal="center" wrapText="1"/>
    </xf>
    <xf numFmtId="0" fontId="0" fillId="0" borderId="10" xfId="0" applyBorder="1" applyAlignment="1">
      <alignment horizontal="center" wrapText="1"/>
    </xf>
    <xf numFmtId="165" fontId="0" fillId="0" borderId="57" xfId="0" applyNumberFormat="1" applyBorder="1" applyAlignment="1">
      <alignment horizontal="right"/>
    </xf>
    <xf numFmtId="165" fontId="0" fillId="0" borderId="58" xfId="0" applyNumberFormat="1" applyBorder="1" applyAlignment="1">
      <alignment horizontal="right"/>
    </xf>
    <xf numFmtId="165" fontId="0" fillId="0" borderId="60" xfId="0" applyNumberFormat="1" applyBorder="1" applyAlignment="1">
      <alignment horizontal="right"/>
    </xf>
    <xf numFmtId="165" fontId="0" fillId="0" borderId="62" xfId="0" applyNumberFormat="1" applyBorder="1" applyAlignment="1">
      <alignment horizontal="right"/>
    </xf>
    <xf numFmtId="165" fontId="0" fillId="0" borderId="56" xfId="0" applyNumberFormat="1" applyBorder="1" applyAlignment="1">
      <alignment horizontal="right"/>
    </xf>
    <xf numFmtId="0" fontId="14" fillId="28" borderId="0" xfId="0" applyFont="1" applyFill="1" applyAlignment="1">
      <alignment/>
    </xf>
    <xf numFmtId="0" fontId="0" fillId="4" borderId="76" xfId="0" applyFill="1" applyBorder="1" applyAlignment="1">
      <alignment horizontal="center" vertical="center" wrapText="1"/>
    </xf>
    <xf numFmtId="0" fontId="0" fillId="4" borderId="75" xfId="0" applyFill="1" applyBorder="1" applyAlignment="1">
      <alignment vertical="center" wrapText="1"/>
    </xf>
    <xf numFmtId="0" fontId="0" fillId="16" borderId="76" xfId="0" applyFill="1" applyBorder="1" applyAlignment="1">
      <alignment horizontal="center" vertical="center" wrapText="1"/>
    </xf>
    <xf numFmtId="0" fontId="0" fillId="16" borderId="77" xfId="0" applyFill="1" applyBorder="1" applyAlignment="1">
      <alignment horizontal="center" vertical="center" wrapText="1"/>
    </xf>
    <xf numFmtId="0" fontId="0" fillId="16" borderId="75" xfId="0" applyFill="1" applyBorder="1" applyAlignment="1">
      <alignment horizontal="center" vertical="center" wrapText="1"/>
    </xf>
    <xf numFmtId="0" fontId="0" fillId="21" borderId="109" xfId="0" applyFill="1" applyBorder="1" applyAlignment="1">
      <alignment horizontal="center" vertical="center" wrapText="1"/>
    </xf>
    <xf numFmtId="0" fontId="0" fillId="21" borderId="110" xfId="0" applyFill="1" applyBorder="1" applyAlignment="1">
      <alignment horizontal="center" vertical="center" wrapText="1"/>
    </xf>
    <xf numFmtId="0" fontId="0" fillId="21" borderId="111" xfId="0" applyFill="1" applyBorder="1" applyAlignment="1">
      <alignment horizontal="center" vertical="center" wrapText="1"/>
    </xf>
    <xf numFmtId="0" fontId="0" fillId="24" borderId="76" xfId="0" applyFill="1" applyBorder="1" applyAlignment="1">
      <alignment vertical="center" wrapText="1"/>
    </xf>
    <xf numFmtId="0" fontId="0" fillId="24" borderId="75" xfId="0" applyFill="1" applyBorder="1" applyAlignment="1">
      <alignment vertical="center" wrapText="1"/>
    </xf>
    <xf numFmtId="0" fontId="0" fillId="9" borderId="76" xfId="0" applyFill="1" applyBorder="1" applyAlignment="1">
      <alignment horizontal="center" vertical="center" wrapText="1"/>
    </xf>
    <xf numFmtId="0" fontId="0" fillId="9" borderId="75" xfId="0" applyFill="1" applyBorder="1" applyAlignment="1">
      <alignment vertical="center" wrapText="1"/>
    </xf>
    <xf numFmtId="0" fontId="0" fillId="6" borderId="112" xfId="19" applyNumberFormat="1" applyBorder="1" applyAlignment="1" applyProtection="1">
      <alignment horizontal="center"/>
      <protection/>
    </xf>
    <xf numFmtId="0" fontId="0" fillId="6" borderId="113" xfId="19" applyNumberFormat="1" applyBorder="1" applyAlignment="1" applyProtection="1">
      <alignment horizontal="center"/>
      <protection/>
    </xf>
    <xf numFmtId="0" fontId="13" fillId="14" borderId="0" xfId="0" applyFont="1" applyFill="1" applyAlignment="1">
      <alignment/>
    </xf>
    <xf numFmtId="165" fontId="0" fillId="0" borderId="14" xfId="0" applyNumberFormat="1" applyBorder="1" applyAlignment="1">
      <alignment horizontal="center"/>
    </xf>
    <xf numFmtId="165" fontId="0" fillId="0" borderId="12" xfId="0" applyNumberFormat="1" applyBorder="1" applyAlignment="1">
      <alignment horizontal="center"/>
    </xf>
    <xf numFmtId="165" fontId="0" fillId="0" borderId="51" xfId="0" applyNumberFormat="1" applyBorder="1" applyAlignment="1">
      <alignment horizontal="center"/>
    </xf>
    <xf numFmtId="165" fontId="0" fillId="0" borderId="52" xfId="0" applyNumberFormat="1" applyBorder="1" applyAlignment="1">
      <alignment horizontal="center"/>
    </xf>
    <xf numFmtId="165" fontId="0" fillId="0" borderId="53" xfId="0" applyNumberFormat="1" applyBorder="1" applyAlignment="1">
      <alignment horizontal="center"/>
    </xf>
    <xf numFmtId="165" fontId="0" fillId="0" borderId="11" xfId="0" applyNumberFormat="1" applyBorder="1" applyAlignment="1">
      <alignment horizontal="center"/>
    </xf>
    <xf numFmtId="165" fontId="0" fillId="0" borderId="78" xfId="0" applyNumberFormat="1" applyBorder="1" applyAlignment="1">
      <alignment horizontal="right"/>
    </xf>
    <xf numFmtId="0" fontId="0" fillId="0" borderId="78" xfId="0"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Project-Baseline CO2e  (metric tons/year)</a:t>
            </a:r>
          </a:p>
        </c:rich>
      </c:tx>
      <c:layout>
        <c:manualLayout>
          <c:xMode val="factor"/>
          <c:yMode val="factor"/>
          <c:x val="0.02025"/>
          <c:y val="-0.03"/>
        </c:manualLayout>
      </c:layout>
      <c:spPr>
        <a:noFill/>
        <a:ln>
          <a:noFill/>
        </a:ln>
      </c:spPr>
    </c:title>
    <c:plotArea>
      <c:layout>
        <c:manualLayout>
          <c:xMode val="edge"/>
          <c:yMode val="edge"/>
          <c:x val="0.0045"/>
          <c:y val="0.0525"/>
          <c:w val="0.99325"/>
          <c:h val="0.94325"/>
        </c:manualLayout>
      </c:layout>
      <c:barChart>
        <c:barDir val="bar"/>
        <c:grouping val="clustered"/>
        <c:varyColors val="0"/>
        <c:ser>
          <c:idx val="0"/>
          <c:order val="0"/>
          <c:tx>
            <c:v>Unmitigated</c:v>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Results!$B$10:$B$20</c:f>
              <c:strCache>
                <c:ptCount val="11"/>
                <c:pt idx="0">
                  <c:v>Transportation:</c:v>
                </c:pt>
                <c:pt idx="1">
                  <c:v>Area Source:</c:v>
                </c:pt>
                <c:pt idx="2">
                  <c:v>Electricity:</c:v>
                </c:pt>
                <c:pt idx="3">
                  <c:v>Natural Gas:</c:v>
                </c:pt>
                <c:pt idx="4">
                  <c:v>Water &amp; Wastewater:</c:v>
                </c:pt>
                <c:pt idx="5">
                  <c:v>Solid Waste:</c:v>
                </c:pt>
                <c:pt idx="6">
                  <c:v>Agriculture:</c:v>
                </c:pt>
                <c:pt idx="7">
                  <c:v>Off-Road Equipment:</c:v>
                </c:pt>
                <c:pt idx="8">
                  <c:v>Refrigerants:</c:v>
                </c:pt>
                <c:pt idx="9">
                  <c:v>Sequestration:</c:v>
                </c:pt>
                <c:pt idx="10">
                  <c:v>Purchase of Offsets:</c:v>
                </c:pt>
              </c:strCache>
            </c:strRef>
          </c:cat>
          <c:val>
            <c:numRef>
              <c:f>Results!$C$10:$C$20</c:f>
              <c:numCache>
                <c:ptCount val="11"/>
                <c:pt idx="0">
                  <c:v>425.66793566847934</c:v>
                </c:pt>
                <c:pt idx="1">
                  <c:v>0.2268602540834845</c:v>
                </c:pt>
                <c:pt idx="2">
                  <c:v>138.4995192964466</c:v>
                </c:pt>
                <c:pt idx="3">
                  <c:v>61.02906995099828</c:v>
                </c:pt>
                <c:pt idx="4">
                  <c:v>4.121633518757423</c:v>
                </c:pt>
                <c:pt idx="5">
                  <c:v>35.36909281929849</c:v>
                </c:pt>
                <c:pt idx="6">
                  <c:v>0</c:v>
                </c:pt>
                <c:pt idx="7">
                  <c:v>0</c:v>
                </c:pt>
                <c:pt idx="8">
                  <c:v>0</c:v>
                </c:pt>
                <c:pt idx="9">
                  <c:v>0</c:v>
                </c:pt>
                <c:pt idx="10">
                  <c:v>0</c:v>
                </c:pt>
              </c:numCache>
            </c:numRef>
          </c:val>
        </c:ser>
        <c:ser>
          <c:idx val="1"/>
          <c:order val="1"/>
          <c:tx>
            <c:v>Mitigated</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Results!$B$10:$B$20</c:f>
              <c:strCache>
                <c:ptCount val="11"/>
                <c:pt idx="0">
                  <c:v>Transportation:</c:v>
                </c:pt>
                <c:pt idx="1">
                  <c:v>Area Source:</c:v>
                </c:pt>
                <c:pt idx="2">
                  <c:v>Electricity:</c:v>
                </c:pt>
                <c:pt idx="3">
                  <c:v>Natural Gas:</c:v>
                </c:pt>
                <c:pt idx="4">
                  <c:v>Water &amp; Wastewater:</c:v>
                </c:pt>
                <c:pt idx="5">
                  <c:v>Solid Waste:</c:v>
                </c:pt>
                <c:pt idx="6">
                  <c:v>Agriculture:</c:v>
                </c:pt>
                <c:pt idx="7">
                  <c:v>Off-Road Equipment:</c:v>
                </c:pt>
                <c:pt idx="8">
                  <c:v>Refrigerants:</c:v>
                </c:pt>
                <c:pt idx="9">
                  <c:v>Sequestration:</c:v>
                </c:pt>
                <c:pt idx="10">
                  <c:v>Purchase of Offsets:</c:v>
                </c:pt>
              </c:strCache>
            </c:strRef>
          </c:cat>
          <c:val>
            <c:numRef>
              <c:f>Results!$D$10:$D$20</c:f>
              <c:numCache>
                <c:ptCount val="11"/>
                <c:pt idx="0">
                  <c:v>361.1926877013165</c:v>
                </c:pt>
                <c:pt idx="1">
                  <c:v>0.2268602540834845</c:v>
                </c:pt>
                <c:pt idx="2">
                  <c:v>116.17070404943875</c:v>
                </c:pt>
                <c:pt idx="3">
                  <c:v>51.9649785327587</c:v>
                </c:pt>
                <c:pt idx="4">
                  <c:v>3.948035942877788</c:v>
                </c:pt>
                <c:pt idx="5">
                  <c:v>35.36909281929849</c:v>
                </c:pt>
                <c:pt idx="6">
                  <c:v>0</c:v>
                </c:pt>
                <c:pt idx="7">
                  <c:v>0</c:v>
                </c:pt>
                <c:pt idx="8">
                  <c:v>0</c:v>
                </c:pt>
                <c:pt idx="9">
                  <c:v>0</c:v>
                </c:pt>
                <c:pt idx="10">
                  <c:v>0</c:v>
                </c:pt>
              </c:numCache>
            </c:numRef>
          </c:val>
        </c:ser>
        <c:overlap val="-25"/>
        <c:axId val="23604549"/>
        <c:axId val="11114350"/>
      </c:barChart>
      <c:catAx>
        <c:axId val="23604549"/>
        <c:scaling>
          <c:orientation val="maxMin"/>
        </c:scaling>
        <c:axPos val="l"/>
        <c:delete val="0"/>
        <c:numFmt formatCode="_(\$* #,##0.00_);_(\$* \(#,##0.00\);_(\$* &quot;-&quot;??_);_(@_)" sourceLinked="0"/>
        <c:majorTickMark val="none"/>
        <c:minorTickMark val="none"/>
        <c:tickLblPos val="low"/>
        <c:spPr>
          <a:ln w="3175">
            <a:solidFill>
              <a:srgbClr val="808080"/>
            </a:solidFill>
          </a:ln>
        </c:spPr>
        <c:crossAx val="11114350"/>
        <c:crosses val="autoZero"/>
        <c:auto val="0"/>
        <c:lblOffset val="100"/>
        <c:tickLblSkip val="1"/>
        <c:noMultiLvlLbl val="0"/>
      </c:catAx>
      <c:valAx>
        <c:axId val="11114350"/>
        <c:scaling>
          <c:orientation val="minMax"/>
        </c:scaling>
        <c:axPos val="t"/>
        <c:delete val="0"/>
        <c:numFmt formatCode="General" sourceLinked="1"/>
        <c:majorTickMark val="out"/>
        <c:minorTickMark val="none"/>
        <c:tickLblPos val="nextTo"/>
        <c:spPr>
          <a:ln w="3175">
            <a:solidFill>
              <a:srgbClr val="808080"/>
            </a:solidFill>
          </a:ln>
        </c:spPr>
        <c:crossAx val="23604549"/>
        <c:crosses val="max"/>
        <c:crossBetween val="between"/>
        <c:dispUnits/>
      </c:valAx>
      <c:spPr>
        <a:solidFill>
          <a:srgbClr val="FFFFFF"/>
        </a:solidFill>
        <a:ln w="3175">
          <a:noFill/>
        </a:ln>
      </c:spPr>
    </c:plotArea>
    <c:legend>
      <c:legendPos val="r"/>
      <c:layout>
        <c:manualLayout>
          <c:xMode val="edge"/>
          <c:yMode val="edge"/>
          <c:x val="0.8865"/>
          <c:y val="0.478"/>
          <c:w val="0.10225"/>
          <c:h val="0.09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impoandassociates.com/" TargetMode="External" /><Relationship Id="rId3" Type="http://schemas.openxmlformats.org/officeDocument/2006/relationships/hyperlink" Target="http://www.rimpoandassociates.com/" TargetMode="External" /><Relationship Id="rId4" Type="http://schemas.openxmlformats.org/officeDocument/2006/relationships/image" Target="../media/image2.png" /><Relationship Id="rId5" Type="http://schemas.openxmlformats.org/officeDocument/2006/relationships/hyperlink" Target="http://www.baaqmd.gov/" TargetMode="External" /><Relationship Id="rId6" Type="http://schemas.openxmlformats.org/officeDocument/2006/relationships/hyperlink" Target="http://www.baaqmd.gov/"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104775</xdr:rowOff>
    </xdr:from>
    <xdr:to>
      <xdr:col>13</xdr:col>
      <xdr:colOff>123825</xdr:colOff>
      <xdr:row>10</xdr:row>
      <xdr:rowOff>152400</xdr:rowOff>
    </xdr:to>
    <xdr:sp>
      <xdr:nvSpPr>
        <xdr:cNvPr id="1" name="Rounded Rectangle 2"/>
        <xdr:cNvSpPr>
          <a:spLocks/>
        </xdr:cNvSpPr>
      </xdr:nvSpPr>
      <xdr:spPr>
        <a:xfrm>
          <a:off x="495300" y="1276350"/>
          <a:ext cx="6819900" cy="1009650"/>
        </a:xfrm>
        <a:prstGeom prst="roundRect">
          <a:avLst/>
        </a:prstGeom>
        <a:solidFill>
          <a:srgbClr val="FFFFFF"/>
        </a:solidFill>
        <a:ln w="762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6</xdr:row>
      <xdr:rowOff>57150</xdr:rowOff>
    </xdr:from>
    <xdr:to>
      <xdr:col>13</xdr:col>
      <xdr:colOff>38100</xdr:colOff>
      <xdr:row>10</xdr:row>
      <xdr:rowOff>66675</xdr:rowOff>
    </xdr:to>
    <xdr:sp>
      <xdr:nvSpPr>
        <xdr:cNvPr id="2" name="TextBox 5"/>
        <xdr:cNvSpPr txBox="1">
          <a:spLocks noChangeArrowheads="1"/>
        </xdr:cNvSpPr>
      </xdr:nvSpPr>
      <xdr:spPr>
        <a:xfrm>
          <a:off x="733425" y="1419225"/>
          <a:ext cx="6496050" cy="7810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Step 1:  Enable Macros
</a:t>
          </a:r>
          <a:r>
            <a:rPr lang="en-US" cap="none" sz="1100" b="0" i="0" u="none" baseline="0">
              <a:solidFill>
                <a:srgbClr val="000000"/>
              </a:solidFill>
              <a:latin typeface="Calibri"/>
              <a:ea typeface="Calibri"/>
              <a:cs typeface="Calibri"/>
            </a:rPr>
            <a:t>Macros</a:t>
          </a:r>
          <a:r>
            <a:rPr lang="en-US" cap="none" sz="1100" b="0" i="0" u="none" baseline="0">
              <a:solidFill>
                <a:srgbClr val="000000"/>
              </a:solidFill>
              <a:latin typeface="Calibri"/>
              <a:ea typeface="Calibri"/>
              <a:cs typeface="Calibri"/>
            </a:rPr>
            <a:t> must be enabled for this model to operate correctly.  The method for enabling macros for this spreadsheet differs depending on the security settings in Excel.</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9525</xdr:colOff>
      <xdr:row>11</xdr:row>
      <xdr:rowOff>190500</xdr:rowOff>
    </xdr:from>
    <xdr:to>
      <xdr:col>13</xdr:col>
      <xdr:colOff>123825</xdr:colOff>
      <xdr:row>20</xdr:row>
      <xdr:rowOff>104775</xdr:rowOff>
    </xdr:to>
    <xdr:sp>
      <xdr:nvSpPr>
        <xdr:cNvPr id="3" name="Rounded Rectangle 8"/>
        <xdr:cNvSpPr>
          <a:spLocks/>
        </xdr:cNvSpPr>
      </xdr:nvSpPr>
      <xdr:spPr>
        <a:xfrm>
          <a:off x="495300" y="2524125"/>
          <a:ext cx="6819900" cy="1695450"/>
        </a:xfrm>
        <a:prstGeom prst="roundRect">
          <a:avLst/>
        </a:prstGeom>
        <a:solidFill>
          <a:srgbClr val="FFFFFF"/>
        </a:solidFill>
        <a:ln w="762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257175</xdr:colOff>
      <xdr:row>12</xdr:row>
      <xdr:rowOff>19050</xdr:rowOff>
    </xdr:from>
    <xdr:to>
      <xdr:col>13</xdr:col>
      <xdr:colOff>47625</xdr:colOff>
      <xdr:row>19</xdr:row>
      <xdr:rowOff>76200</xdr:rowOff>
    </xdr:to>
    <xdr:sp>
      <xdr:nvSpPr>
        <xdr:cNvPr id="4" name="TextBox 9"/>
        <xdr:cNvSpPr txBox="1">
          <a:spLocks noChangeArrowheads="1"/>
        </xdr:cNvSpPr>
      </xdr:nvSpPr>
      <xdr:spPr>
        <a:xfrm>
          <a:off x="742950" y="2581275"/>
          <a:ext cx="6496050" cy="141922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Step 2:  Open</a:t>
          </a:r>
          <a:r>
            <a:rPr lang="en-US" cap="none" sz="1600" b="0" i="0" u="none" baseline="0">
              <a:solidFill>
                <a:srgbClr val="000000"/>
              </a:solidFill>
              <a:latin typeface="Calibri"/>
              <a:ea typeface="Calibri"/>
              <a:cs typeface="Calibri"/>
            </a:rPr>
            <a:t> an Urbemis Project File, or Refresh Urbemis Data</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BGM depends on the data and results from an URBEMIS project file.  Two URBEMIS files can be specified : a project file and (optionally) a baseline file. To open a file, or to refresh the data in this spreadsheet after an URBEMIS file has been modified,  go to the Settings tab by clicking on the Open an URBEMIS Project File link  to the right . Select the URBEMIS file(s) that you want to import and hit the refresh data button.  Please </a:t>
          </a:r>
          <a:r>
            <a:rPr lang="en-US" cap="none" sz="1100" b="0" i="0" u="sng" baseline="0">
              <a:solidFill>
                <a:srgbClr val="000000"/>
              </a:solidFill>
              <a:latin typeface="Calibri"/>
              <a:ea typeface="Calibri"/>
              <a:cs typeface="Calibri"/>
            </a:rPr>
            <a:t>make sure </a:t>
          </a:r>
          <a:r>
            <a:rPr lang="en-US" cap="none" sz="1100" b="0" i="0" u="none" baseline="0">
              <a:solidFill>
                <a:srgbClr val="000000"/>
              </a:solidFill>
              <a:latin typeface="Calibri"/>
              <a:ea typeface="Calibri"/>
              <a:cs typeface="Calibri"/>
            </a:rPr>
            <a:t>that the Emfac Database Location is correct before clicking either of the Refresh buttons.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9525</xdr:colOff>
      <xdr:row>33</xdr:row>
      <xdr:rowOff>161925</xdr:rowOff>
    </xdr:from>
    <xdr:to>
      <xdr:col>13</xdr:col>
      <xdr:colOff>123825</xdr:colOff>
      <xdr:row>40</xdr:row>
      <xdr:rowOff>180975</xdr:rowOff>
    </xdr:to>
    <xdr:sp>
      <xdr:nvSpPr>
        <xdr:cNvPr id="5" name="Rounded Rectangle 10"/>
        <xdr:cNvSpPr>
          <a:spLocks/>
        </xdr:cNvSpPr>
      </xdr:nvSpPr>
      <xdr:spPr>
        <a:xfrm>
          <a:off x="495300" y="6753225"/>
          <a:ext cx="6819900" cy="1362075"/>
        </a:xfrm>
        <a:prstGeom prst="roundRect">
          <a:avLst/>
        </a:prstGeom>
        <a:solidFill>
          <a:srgbClr val="FFFFFF"/>
        </a:solidFill>
        <a:ln w="762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152400</xdr:colOff>
      <xdr:row>34</xdr:row>
      <xdr:rowOff>57150</xdr:rowOff>
    </xdr:from>
    <xdr:to>
      <xdr:col>12</xdr:col>
      <xdr:colOff>552450</xdr:colOff>
      <xdr:row>40</xdr:row>
      <xdr:rowOff>57150</xdr:rowOff>
    </xdr:to>
    <xdr:sp>
      <xdr:nvSpPr>
        <xdr:cNvPr id="6" name="TextBox 11"/>
        <xdr:cNvSpPr txBox="1">
          <a:spLocks noChangeArrowheads="1"/>
        </xdr:cNvSpPr>
      </xdr:nvSpPr>
      <xdr:spPr>
        <a:xfrm>
          <a:off x="638175" y="6838950"/>
          <a:ext cx="6496050" cy="115252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Step 4:  View Results
</a:t>
          </a:r>
          <a:r>
            <a:rPr lang="en-US" cap="none" sz="1100" b="0" i="0" u="none" baseline="0">
              <a:solidFill>
                <a:srgbClr val="000000"/>
              </a:solidFill>
              <a:latin typeface="Calibri"/>
              <a:ea typeface="Calibri"/>
              <a:cs typeface="Calibri"/>
            </a:rPr>
            <a:t>The Results Tab presents a</a:t>
          </a:r>
          <a:r>
            <a:rPr lang="en-US" cap="none" sz="1100" b="0" i="0" u="none" baseline="0">
              <a:solidFill>
                <a:srgbClr val="000000"/>
              </a:solidFill>
              <a:latin typeface="Calibri"/>
              <a:ea typeface="Calibri"/>
              <a:cs typeface="Calibri"/>
            </a:rPr>
            <a:t> graphical and tabular view of the results of the Greenhouse Gas Calculator.    Both a summary and detailed report  are included on the Results tab.  The user also has the option of selected  project specific mitigation on the Mitigation tab and on the Carbon Sequestration tab.</a:t>
          </a:r>
          <a:r>
            <a:rPr lang="en-US" cap="none" sz="1100" b="0" i="0" u="none" baseline="0">
              <a:solidFill>
                <a:srgbClr val="000000"/>
              </a:solidFill>
              <a:latin typeface="Calibri"/>
              <a:ea typeface="Calibri"/>
              <a:cs typeface="Calibri"/>
            </a:rPr>
            <a:t>
</a:t>
          </a:r>
        </a:p>
      </xdr:txBody>
    </xdr:sp>
    <xdr:clientData/>
  </xdr:twoCellAnchor>
  <xdr:twoCellAnchor>
    <xdr:from>
      <xdr:col>2</xdr:col>
      <xdr:colOff>9525</xdr:colOff>
      <xdr:row>21</xdr:row>
      <xdr:rowOff>142875</xdr:rowOff>
    </xdr:from>
    <xdr:to>
      <xdr:col>13</xdr:col>
      <xdr:colOff>180975</xdr:colOff>
      <xdr:row>32</xdr:row>
      <xdr:rowOff>104775</xdr:rowOff>
    </xdr:to>
    <xdr:sp>
      <xdr:nvSpPr>
        <xdr:cNvPr id="7" name="Rounded Rectangle 7"/>
        <xdr:cNvSpPr>
          <a:spLocks/>
        </xdr:cNvSpPr>
      </xdr:nvSpPr>
      <xdr:spPr>
        <a:xfrm>
          <a:off x="495300" y="4448175"/>
          <a:ext cx="6877050" cy="2057400"/>
        </a:xfrm>
        <a:prstGeom prst="roundRect">
          <a:avLst/>
        </a:prstGeom>
        <a:solidFill>
          <a:srgbClr val="FFFFFF"/>
        </a:solidFill>
        <a:ln w="762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22</xdr:row>
      <xdr:rowOff>47625</xdr:rowOff>
    </xdr:from>
    <xdr:to>
      <xdr:col>12</xdr:col>
      <xdr:colOff>581025</xdr:colOff>
      <xdr:row>31</xdr:row>
      <xdr:rowOff>104775</xdr:rowOff>
    </xdr:to>
    <xdr:sp>
      <xdr:nvSpPr>
        <xdr:cNvPr id="8" name="TextBox 12"/>
        <xdr:cNvSpPr txBox="1">
          <a:spLocks noChangeArrowheads="1"/>
        </xdr:cNvSpPr>
      </xdr:nvSpPr>
      <xdr:spPr>
        <a:xfrm>
          <a:off x="733425" y="4543425"/>
          <a:ext cx="6429375" cy="17716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Step</a:t>
          </a:r>
          <a:r>
            <a:rPr lang="en-US" cap="none" sz="1600" b="0" i="0" u="none" baseline="0">
              <a:solidFill>
                <a:srgbClr val="000000"/>
              </a:solidFill>
              <a:latin typeface="Calibri"/>
              <a:ea typeface="Calibri"/>
              <a:cs typeface="Calibri"/>
            </a:rPr>
            <a:t> 3: Data Entry Options
</a:t>
          </a:r>
          <a:r>
            <a:rPr lang="en-US" cap="none" sz="1100" b="0" i="0" u="none" baseline="0">
              <a:solidFill>
                <a:srgbClr val="000000"/>
              </a:solidFill>
              <a:latin typeface="Calibri"/>
              <a:ea typeface="Calibri"/>
              <a:cs typeface="Calibri"/>
            </a:rPr>
            <a:t>The bright yellow areas on each tab represent data entry locations, if applicable to your project.  In some cases, there are optional data inputs (shown in peach).  Some tabs, such as transportation and area sources, do not require any data input, as results are imported directly from URBEMIS.  Certain other tabs - electricty &amp; natural gas, water &amp; wastewater, and solid waste - require some minor amount of user input, although most of the information used  to estimate emissions is imported from URBEMIS.  And for certain tabs, - ag, off-road, refrigerants, and carbon sequestration - the user must enter project specific information to obtain emission estimates.</a:t>
          </a:r>
        </a:p>
      </xdr:txBody>
    </xdr:sp>
    <xdr:clientData/>
  </xdr:twoCellAnchor>
  <xdr:twoCellAnchor editAs="oneCell">
    <xdr:from>
      <xdr:col>20</xdr:col>
      <xdr:colOff>47625</xdr:colOff>
      <xdr:row>29</xdr:row>
      <xdr:rowOff>28575</xdr:rowOff>
    </xdr:from>
    <xdr:to>
      <xdr:col>23</xdr:col>
      <xdr:colOff>561975</xdr:colOff>
      <xdr:row>31</xdr:row>
      <xdr:rowOff>142875</xdr:rowOff>
    </xdr:to>
    <xdr:pic>
      <xdr:nvPicPr>
        <xdr:cNvPr id="9" name="Picture 15" descr="Logo new.png">
          <a:hlinkClick r:id="rId3"/>
        </xdr:cNvPr>
        <xdr:cNvPicPr preferRelativeResize="1">
          <a:picLocks noChangeAspect="1"/>
        </xdr:cNvPicPr>
      </xdr:nvPicPr>
      <xdr:blipFill>
        <a:blip r:embed="rId1"/>
        <a:stretch>
          <a:fillRect/>
        </a:stretch>
      </xdr:blipFill>
      <xdr:spPr>
        <a:xfrm>
          <a:off x="11925300" y="5857875"/>
          <a:ext cx="2343150" cy="495300"/>
        </a:xfrm>
        <a:prstGeom prst="rect">
          <a:avLst/>
        </a:prstGeom>
        <a:noFill/>
        <a:ln w="9525" cmpd="sng">
          <a:noFill/>
        </a:ln>
      </xdr:spPr>
    </xdr:pic>
    <xdr:clientData/>
  </xdr:twoCellAnchor>
  <xdr:twoCellAnchor editAs="oneCell">
    <xdr:from>
      <xdr:col>19</xdr:col>
      <xdr:colOff>200025</xdr:colOff>
      <xdr:row>11</xdr:row>
      <xdr:rowOff>28575</xdr:rowOff>
    </xdr:from>
    <xdr:to>
      <xdr:col>25</xdr:col>
      <xdr:colOff>476250</xdr:colOff>
      <xdr:row>14</xdr:row>
      <xdr:rowOff>104775</xdr:rowOff>
    </xdr:to>
    <xdr:pic>
      <xdr:nvPicPr>
        <xdr:cNvPr id="10" name="Picture 14" descr="BAAQMD logo.png">
          <a:hlinkClick r:id="rId6"/>
        </xdr:cNvPr>
        <xdr:cNvPicPr preferRelativeResize="1">
          <a:picLocks noChangeAspect="1"/>
        </xdr:cNvPicPr>
      </xdr:nvPicPr>
      <xdr:blipFill>
        <a:blip r:embed="rId4"/>
        <a:stretch>
          <a:fillRect/>
        </a:stretch>
      </xdr:blipFill>
      <xdr:spPr>
        <a:xfrm>
          <a:off x="11144250" y="2362200"/>
          <a:ext cx="4257675"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13</xdr:row>
      <xdr:rowOff>161925</xdr:rowOff>
    </xdr:from>
    <xdr:to>
      <xdr:col>10</xdr:col>
      <xdr:colOff>514350</xdr:colOff>
      <xdr:row>15</xdr:row>
      <xdr:rowOff>66675</xdr:rowOff>
    </xdr:to>
    <xdr:sp macro="[0]!wksSettingsV.btnCSReset_Click">
      <xdr:nvSpPr>
        <xdr:cNvPr id="1" name="btnCSReset"/>
        <xdr:cNvSpPr>
          <a:spLocks/>
        </xdr:cNvSpPr>
      </xdr:nvSpPr>
      <xdr:spPr>
        <a:xfrm>
          <a:off x="6486525" y="2895600"/>
          <a:ext cx="1914525" cy="285750"/>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Clear All User Inputs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xdr:colOff>
      <xdr:row>6</xdr:row>
      <xdr:rowOff>180975</xdr:rowOff>
    </xdr:from>
    <xdr:to>
      <xdr:col>12</xdr:col>
      <xdr:colOff>38100</xdr:colOff>
      <xdr:row>8</xdr:row>
      <xdr:rowOff>76200</xdr:rowOff>
    </xdr:to>
    <xdr:sp macro="[0]!wksSettingsV.btnFindUrbFile_Click">
      <xdr:nvSpPr>
        <xdr:cNvPr id="1" name="btnFindUrbFile"/>
        <xdr:cNvSpPr>
          <a:spLocks/>
        </xdr:cNvSpPr>
      </xdr:nvSpPr>
      <xdr:spPr>
        <a:xfrm>
          <a:off x="4886325" y="1524000"/>
          <a:ext cx="2466975" cy="276225"/>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Browse to Find Urbemis File</a:t>
          </a:r>
        </a:p>
      </xdr:txBody>
    </xdr:sp>
    <xdr:clientData/>
  </xdr:twoCellAnchor>
  <xdr:twoCellAnchor editAs="absolute">
    <xdr:from>
      <xdr:col>8</xdr:col>
      <xdr:colOff>0</xdr:colOff>
      <xdr:row>9</xdr:row>
      <xdr:rowOff>9525</xdr:rowOff>
    </xdr:from>
    <xdr:to>
      <xdr:col>12</xdr:col>
      <xdr:colOff>19050</xdr:colOff>
      <xdr:row>10</xdr:row>
      <xdr:rowOff>133350</xdr:rowOff>
    </xdr:to>
    <xdr:sp macro="[0]!wksSettingsV.btnRefreshUrbFile_Click">
      <xdr:nvSpPr>
        <xdr:cNvPr id="2" name="btnRefreshUrbFile"/>
        <xdr:cNvSpPr>
          <a:spLocks/>
        </xdr:cNvSpPr>
      </xdr:nvSpPr>
      <xdr:spPr>
        <a:xfrm>
          <a:off x="4876800" y="1924050"/>
          <a:ext cx="2457450" cy="314325"/>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Refresh</a:t>
          </a:r>
          <a:r>
            <a:rPr lang="en-US" cap="none" sz="1100" b="0" i="0" u="none" baseline="0">
              <a:solidFill>
                <a:srgbClr val="000000"/>
              </a:solidFill>
              <a:latin typeface="Calibri"/>
              <a:ea typeface="Calibri"/>
              <a:cs typeface="Calibri"/>
            </a:rPr>
            <a:t> Project Data</a:t>
          </a:r>
        </a:p>
      </xdr:txBody>
    </xdr:sp>
    <xdr:clientData/>
  </xdr:twoCellAnchor>
  <xdr:twoCellAnchor>
    <xdr:from>
      <xdr:col>8</xdr:col>
      <xdr:colOff>47625</xdr:colOff>
      <xdr:row>10</xdr:row>
      <xdr:rowOff>190500</xdr:rowOff>
    </xdr:from>
    <xdr:to>
      <xdr:col>9</xdr:col>
      <xdr:colOff>514350</xdr:colOff>
      <xdr:row>17</xdr:row>
      <xdr:rowOff>66675</xdr:rowOff>
    </xdr:to>
    <xdr:sp>
      <xdr:nvSpPr>
        <xdr:cNvPr id="3" name="Elbow Connector 6"/>
        <xdr:cNvSpPr>
          <a:spLocks/>
        </xdr:cNvSpPr>
      </xdr:nvSpPr>
      <xdr:spPr>
        <a:xfrm rot="5400000" flipH="1" flipV="1">
          <a:off x="4924425" y="2295525"/>
          <a:ext cx="1076325" cy="1362075"/>
        </a:xfrm>
        <a:prstGeom prst="bentConnector3">
          <a:avLst>
            <a:gd name="adj" fmla="val -379"/>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8</xdr:col>
      <xdr:colOff>0</xdr:colOff>
      <xdr:row>20</xdr:row>
      <xdr:rowOff>104775</xdr:rowOff>
    </xdr:from>
    <xdr:to>
      <xdr:col>12</xdr:col>
      <xdr:colOff>28575</xdr:colOff>
      <xdr:row>22</xdr:row>
      <xdr:rowOff>0</xdr:rowOff>
    </xdr:to>
    <xdr:sp macro="[0]!wksSettingsV.btnFindBaselineFile_Click">
      <xdr:nvSpPr>
        <xdr:cNvPr id="4" name="btnFindBaselineFile"/>
        <xdr:cNvSpPr>
          <a:spLocks/>
        </xdr:cNvSpPr>
      </xdr:nvSpPr>
      <xdr:spPr>
        <a:xfrm>
          <a:off x="4876800" y="4324350"/>
          <a:ext cx="2466975" cy="276225"/>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Browse to Find Baseline File</a:t>
          </a:r>
        </a:p>
      </xdr:txBody>
    </xdr:sp>
    <xdr:clientData/>
  </xdr:twoCellAnchor>
  <xdr:twoCellAnchor editAs="absolute">
    <xdr:from>
      <xdr:col>8</xdr:col>
      <xdr:colOff>0</xdr:colOff>
      <xdr:row>23</xdr:row>
      <xdr:rowOff>0</xdr:rowOff>
    </xdr:from>
    <xdr:to>
      <xdr:col>12</xdr:col>
      <xdr:colOff>28575</xdr:colOff>
      <xdr:row>24</xdr:row>
      <xdr:rowOff>114300</xdr:rowOff>
    </xdr:to>
    <xdr:sp macro="[0]!wksSettingsV.btnReplaceBaseline_Click">
      <xdr:nvSpPr>
        <xdr:cNvPr id="5" name="btnReplaceBaseline"/>
        <xdr:cNvSpPr>
          <a:spLocks/>
        </xdr:cNvSpPr>
      </xdr:nvSpPr>
      <xdr:spPr>
        <a:xfrm>
          <a:off x="4876800" y="4791075"/>
          <a:ext cx="2466975" cy="304800"/>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Refresh Baseline Project Data</a:t>
          </a:r>
        </a:p>
      </xdr:txBody>
    </xdr:sp>
    <xdr:clientData/>
  </xdr:twoCellAnchor>
  <xdr:twoCellAnchor>
    <xdr:from>
      <xdr:col>7</xdr:col>
      <xdr:colOff>609600</xdr:colOff>
      <xdr:row>38</xdr:row>
      <xdr:rowOff>9525</xdr:rowOff>
    </xdr:from>
    <xdr:to>
      <xdr:col>12</xdr:col>
      <xdr:colOff>28575</xdr:colOff>
      <xdr:row>39</xdr:row>
      <xdr:rowOff>38100</xdr:rowOff>
    </xdr:to>
    <xdr:sp macro="[0]!wksSettingsV.btnFindEmfac_Click">
      <xdr:nvSpPr>
        <xdr:cNvPr id="6" name="btnFindEmfac"/>
        <xdr:cNvSpPr>
          <a:spLocks/>
        </xdr:cNvSpPr>
      </xdr:nvSpPr>
      <xdr:spPr>
        <a:xfrm>
          <a:off x="4876800" y="7886700"/>
          <a:ext cx="2466975" cy="276225"/>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Browse to Find Emfac Databases</a:t>
          </a:r>
        </a:p>
      </xdr:txBody>
    </xdr:sp>
    <xdr:clientData/>
  </xdr:twoCellAnchor>
  <xdr:twoCellAnchor>
    <xdr:from>
      <xdr:col>6</xdr:col>
      <xdr:colOff>238125</xdr:colOff>
      <xdr:row>39</xdr:row>
      <xdr:rowOff>38100</xdr:rowOff>
    </xdr:from>
    <xdr:to>
      <xdr:col>10</xdr:col>
      <xdr:colOff>9525</xdr:colOff>
      <xdr:row>42</xdr:row>
      <xdr:rowOff>123825</xdr:rowOff>
    </xdr:to>
    <xdr:sp>
      <xdr:nvSpPr>
        <xdr:cNvPr id="7" name="Elbow Connector 19"/>
        <xdr:cNvSpPr>
          <a:spLocks/>
        </xdr:cNvSpPr>
      </xdr:nvSpPr>
      <xdr:spPr>
        <a:xfrm flipV="1">
          <a:off x="3895725" y="8162925"/>
          <a:ext cx="2209800" cy="657225"/>
        </a:xfrm>
        <a:prstGeom prst="bentConnector2">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571500</xdr:colOff>
      <xdr:row>24</xdr:row>
      <xdr:rowOff>114300</xdr:rowOff>
    </xdr:from>
    <xdr:to>
      <xdr:col>10</xdr:col>
      <xdr:colOff>19050</xdr:colOff>
      <xdr:row>25</xdr:row>
      <xdr:rowOff>114300</xdr:rowOff>
    </xdr:to>
    <xdr:sp>
      <xdr:nvSpPr>
        <xdr:cNvPr id="8" name="Elbow Connector 19"/>
        <xdr:cNvSpPr>
          <a:spLocks/>
        </xdr:cNvSpPr>
      </xdr:nvSpPr>
      <xdr:spPr>
        <a:xfrm flipV="1">
          <a:off x="3619500" y="5095875"/>
          <a:ext cx="2495550" cy="247650"/>
        </a:xfrm>
        <a:prstGeom prst="bentConnector2">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30</xdr:row>
      <xdr:rowOff>0</xdr:rowOff>
    </xdr:from>
    <xdr:to>
      <xdr:col>12</xdr:col>
      <xdr:colOff>66675</xdr:colOff>
      <xdr:row>31</xdr:row>
      <xdr:rowOff>85725</xdr:rowOff>
    </xdr:to>
    <xdr:sp macro="[0]!wksSettingsV.btnClearData_Click">
      <xdr:nvSpPr>
        <xdr:cNvPr id="9" name="btnClearData"/>
        <xdr:cNvSpPr>
          <a:spLocks/>
        </xdr:cNvSpPr>
      </xdr:nvSpPr>
      <xdr:spPr>
        <a:xfrm>
          <a:off x="4914900" y="6276975"/>
          <a:ext cx="2466975" cy="276225"/>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Clear Data</a:t>
          </a:r>
        </a:p>
      </xdr:txBody>
    </xdr:sp>
    <xdr:clientData/>
  </xdr:twoCellAnchor>
  <xdr:twoCellAnchor>
    <xdr:from>
      <xdr:col>8</xdr:col>
      <xdr:colOff>19050</xdr:colOff>
      <xdr:row>43</xdr:row>
      <xdr:rowOff>190500</xdr:rowOff>
    </xdr:from>
    <xdr:to>
      <xdr:col>12</xdr:col>
      <xdr:colOff>57150</xdr:colOff>
      <xdr:row>45</xdr:row>
      <xdr:rowOff>123825</xdr:rowOff>
    </xdr:to>
    <xdr:sp macro="[0]!wksSettingsV.btnResetEmfac_Click">
      <xdr:nvSpPr>
        <xdr:cNvPr id="10" name="btnResetEmfac"/>
        <xdr:cNvSpPr>
          <a:spLocks/>
        </xdr:cNvSpPr>
      </xdr:nvSpPr>
      <xdr:spPr>
        <a:xfrm>
          <a:off x="4895850" y="9077325"/>
          <a:ext cx="2476500" cy="314325"/>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Reset Emfac Location</a:t>
          </a:r>
          <a:r>
            <a:rPr lang="en-US" cap="none" sz="1100" b="0" i="0" u="none" baseline="0">
              <a:solidFill>
                <a:srgbClr val="000000"/>
              </a:solidFill>
              <a:latin typeface="Calibri"/>
              <a:ea typeface="Calibri"/>
              <a:cs typeface="Calibri"/>
            </a:rPr>
            <a:t> to Default Value</a:t>
          </a:r>
        </a:p>
      </xdr:txBody>
    </xdr:sp>
    <xdr:clientData/>
  </xdr:twoCellAnchor>
  <xdr:twoCellAnchor>
    <xdr:from>
      <xdr:col>4</xdr:col>
      <xdr:colOff>523875</xdr:colOff>
      <xdr:row>44</xdr:row>
      <xdr:rowOff>104775</xdr:rowOff>
    </xdr:from>
    <xdr:to>
      <xdr:col>7</xdr:col>
      <xdr:colOff>533400</xdr:colOff>
      <xdr:row>44</xdr:row>
      <xdr:rowOff>104775</xdr:rowOff>
    </xdr:to>
    <xdr:sp>
      <xdr:nvSpPr>
        <xdr:cNvPr id="11" name="Straight Arrow Connector 16"/>
        <xdr:cNvSpPr>
          <a:spLocks/>
        </xdr:cNvSpPr>
      </xdr:nvSpPr>
      <xdr:spPr>
        <a:xfrm>
          <a:off x="2962275" y="9182100"/>
          <a:ext cx="1838325"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323850</xdr:colOff>
      <xdr:row>31</xdr:row>
      <xdr:rowOff>85725</xdr:rowOff>
    </xdr:from>
    <xdr:to>
      <xdr:col>10</xdr:col>
      <xdr:colOff>47625</xdr:colOff>
      <xdr:row>33</xdr:row>
      <xdr:rowOff>104775</xdr:rowOff>
    </xdr:to>
    <xdr:sp>
      <xdr:nvSpPr>
        <xdr:cNvPr id="12" name="Shape 17"/>
        <xdr:cNvSpPr>
          <a:spLocks/>
        </xdr:cNvSpPr>
      </xdr:nvSpPr>
      <xdr:spPr>
        <a:xfrm flipV="1">
          <a:off x="5200650" y="6553200"/>
          <a:ext cx="942975" cy="400050"/>
        </a:xfrm>
        <a:prstGeom prst="bentConnector2">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4</xdr:row>
      <xdr:rowOff>28575</xdr:rowOff>
    </xdr:from>
    <xdr:to>
      <xdr:col>11</xdr:col>
      <xdr:colOff>990600</xdr:colOff>
      <xdr:row>27</xdr:row>
      <xdr:rowOff>180975</xdr:rowOff>
    </xdr:to>
    <xdr:graphicFrame>
      <xdr:nvGraphicFramePr>
        <xdr:cNvPr id="1" name="Chart 2"/>
        <xdr:cNvGraphicFramePr/>
      </xdr:nvGraphicFramePr>
      <xdr:xfrm>
        <a:off x="5724525" y="933450"/>
        <a:ext cx="8562975" cy="4829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885825</xdr:colOff>
      <xdr:row>23</xdr:row>
      <xdr:rowOff>152400</xdr:rowOff>
    </xdr:from>
    <xdr:to>
      <xdr:col>7</xdr:col>
      <xdr:colOff>666750</xdr:colOff>
      <xdr:row>25</xdr:row>
      <xdr:rowOff>57150</xdr:rowOff>
    </xdr:to>
    <xdr:sp macro="[0]!wksSettingsV.btnElecClearOverrides_Click">
      <xdr:nvSpPr>
        <xdr:cNvPr id="1" name="btnElecClearOverrides"/>
        <xdr:cNvSpPr>
          <a:spLocks/>
        </xdr:cNvSpPr>
      </xdr:nvSpPr>
      <xdr:spPr>
        <a:xfrm>
          <a:off x="7096125" y="4895850"/>
          <a:ext cx="2552700" cy="285750"/>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Clear All User Overrides</a:t>
          </a:r>
        </a:p>
      </xdr:txBody>
    </xdr:sp>
    <xdr:clientData/>
  </xdr:twoCellAnchor>
  <xdr:twoCellAnchor editAs="oneCell">
    <xdr:from>
      <xdr:col>10</xdr:col>
      <xdr:colOff>666750</xdr:colOff>
      <xdr:row>3</xdr:row>
      <xdr:rowOff>161925</xdr:rowOff>
    </xdr:from>
    <xdr:to>
      <xdr:col>14</xdr:col>
      <xdr:colOff>28575</xdr:colOff>
      <xdr:row>20</xdr:row>
      <xdr:rowOff>57150</xdr:rowOff>
    </xdr:to>
    <xdr:pic>
      <xdr:nvPicPr>
        <xdr:cNvPr id="2" name="Picture 2" descr="BAAQMD Climate Zones.png"/>
        <xdr:cNvPicPr preferRelativeResize="1">
          <a:picLocks noChangeAspect="1"/>
        </xdr:cNvPicPr>
      </xdr:nvPicPr>
      <xdr:blipFill>
        <a:blip r:embed="rId1"/>
        <a:stretch>
          <a:fillRect/>
        </a:stretch>
      </xdr:blipFill>
      <xdr:spPr>
        <a:xfrm>
          <a:off x="13296900" y="876300"/>
          <a:ext cx="3371850" cy="3343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48</xdr:row>
      <xdr:rowOff>85725</xdr:rowOff>
    </xdr:from>
    <xdr:to>
      <xdr:col>3</xdr:col>
      <xdr:colOff>1028700</xdr:colOff>
      <xdr:row>58</xdr:row>
      <xdr:rowOff>104775</xdr:rowOff>
    </xdr:to>
    <xdr:pic>
      <xdr:nvPicPr>
        <xdr:cNvPr id="1" name="Picture 1" descr="Water-Energy Use Estimates.png"/>
        <xdr:cNvPicPr preferRelativeResize="1">
          <a:picLocks noChangeAspect="1"/>
        </xdr:cNvPicPr>
      </xdr:nvPicPr>
      <xdr:blipFill>
        <a:blip r:embed="rId1"/>
        <a:stretch>
          <a:fillRect/>
        </a:stretch>
      </xdr:blipFill>
      <xdr:spPr>
        <a:xfrm>
          <a:off x="504825" y="9801225"/>
          <a:ext cx="4457700" cy="2276475"/>
        </a:xfrm>
        <a:prstGeom prst="rect">
          <a:avLst/>
        </a:prstGeom>
        <a:noFill/>
        <a:ln w="9525" cmpd="sng">
          <a:noFill/>
        </a:ln>
      </xdr:spPr>
    </xdr:pic>
    <xdr:clientData/>
  </xdr:twoCellAnchor>
  <xdr:twoCellAnchor>
    <xdr:from>
      <xdr:col>0</xdr:col>
      <xdr:colOff>381000</xdr:colOff>
      <xdr:row>12</xdr:row>
      <xdr:rowOff>47625</xdr:rowOff>
    </xdr:from>
    <xdr:to>
      <xdr:col>2</xdr:col>
      <xdr:colOff>133350</xdr:colOff>
      <xdr:row>13</xdr:row>
      <xdr:rowOff>142875</xdr:rowOff>
    </xdr:to>
    <xdr:sp macro="[0]!wksSettingsV.btnWWClearOverrides_Click">
      <xdr:nvSpPr>
        <xdr:cNvPr id="2" name="btnWWClearOverrides"/>
        <xdr:cNvSpPr>
          <a:spLocks/>
        </xdr:cNvSpPr>
      </xdr:nvSpPr>
      <xdr:spPr>
        <a:xfrm>
          <a:off x="381000" y="2476500"/>
          <a:ext cx="2266950" cy="285750"/>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Clear All User Overrides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xdr:row>
      <xdr:rowOff>28575</xdr:rowOff>
    </xdr:from>
    <xdr:to>
      <xdr:col>1</xdr:col>
      <xdr:colOff>2514600</xdr:colOff>
      <xdr:row>18</xdr:row>
      <xdr:rowOff>114300</xdr:rowOff>
    </xdr:to>
    <xdr:sp macro="[0]!wksSettingsV.btnSWClearOverrides_Click">
      <xdr:nvSpPr>
        <xdr:cNvPr id="1" name="btnSWClearOverrides"/>
        <xdr:cNvSpPr>
          <a:spLocks/>
        </xdr:cNvSpPr>
      </xdr:nvSpPr>
      <xdr:spPr>
        <a:xfrm>
          <a:off x="238125" y="3438525"/>
          <a:ext cx="2466975" cy="276225"/>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Clear All User Overrides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14</xdr:row>
      <xdr:rowOff>190500</xdr:rowOff>
    </xdr:from>
    <xdr:to>
      <xdr:col>7</xdr:col>
      <xdr:colOff>714375</xdr:colOff>
      <xdr:row>15</xdr:row>
      <xdr:rowOff>276225</xdr:rowOff>
    </xdr:to>
    <xdr:sp macro="[0]!wksSettingsV.btnAgReset_Click">
      <xdr:nvSpPr>
        <xdr:cNvPr id="1" name="btnAgReset"/>
        <xdr:cNvSpPr>
          <a:spLocks/>
        </xdr:cNvSpPr>
      </xdr:nvSpPr>
      <xdr:spPr>
        <a:xfrm>
          <a:off x="7600950" y="3067050"/>
          <a:ext cx="1600200" cy="276225"/>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Clear</a:t>
          </a:r>
          <a:r>
            <a:rPr lang="en-US" cap="none" sz="1100" b="0" i="0" u="none" baseline="0">
              <a:solidFill>
                <a:srgbClr val="000000"/>
              </a:solidFill>
              <a:latin typeface="Calibri"/>
              <a:ea typeface="Calibri"/>
              <a:cs typeface="Calibri"/>
            </a:rPr>
            <a:t> All User Inputs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19</xdr:row>
      <xdr:rowOff>304800</xdr:rowOff>
    </xdr:from>
    <xdr:to>
      <xdr:col>6</xdr:col>
      <xdr:colOff>485775</xdr:colOff>
      <xdr:row>21</xdr:row>
      <xdr:rowOff>9525</xdr:rowOff>
    </xdr:to>
    <xdr:sp macro="[0]!wksSettingsV.btnORClearOverrides_Click">
      <xdr:nvSpPr>
        <xdr:cNvPr id="1" name="btnORClearOverrides"/>
        <xdr:cNvSpPr>
          <a:spLocks/>
        </xdr:cNvSpPr>
      </xdr:nvSpPr>
      <xdr:spPr>
        <a:xfrm>
          <a:off x="4610100" y="4143375"/>
          <a:ext cx="1657350" cy="276225"/>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Clear All User Inputs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23</xdr:row>
      <xdr:rowOff>152400</xdr:rowOff>
    </xdr:from>
    <xdr:to>
      <xdr:col>10</xdr:col>
      <xdr:colOff>866775</xdr:colOff>
      <xdr:row>25</xdr:row>
      <xdr:rowOff>57150</xdr:rowOff>
    </xdr:to>
    <xdr:sp macro="[0]!wksSettingsV.btnRefrigReset_Click">
      <xdr:nvSpPr>
        <xdr:cNvPr id="1" name="btnRefrigReset"/>
        <xdr:cNvSpPr>
          <a:spLocks/>
        </xdr:cNvSpPr>
      </xdr:nvSpPr>
      <xdr:spPr>
        <a:xfrm>
          <a:off x="7562850" y="5505450"/>
          <a:ext cx="3381375" cy="285750"/>
        </a:xfrm>
        <a:prstGeom prst="bevel">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Clear All</a:t>
          </a:r>
          <a:r>
            <a:rPr lang="en-US" cap="none" sz="1100" b="0" i="0" u="none" baseline="0">
              <a:solidFill>
                <a:srgbClr val="000000"/>
              </a:solidFill>
              <a:latin typeface="Calibri"/>
              <a:ea typeface="Calibri"/>
              <a:cs typeface="Calibri"/>
            </a:rPr>
            <a:t> User Inputs and Overrides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capabilities.itron.com/CeusWeb/FCZMap.aspx" TargetMode="Externa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ia.doe.gov/emeu/consumptionbriefs/cbecs/pbawebsite/office/office_howmanyempl.ht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wksHelpV">
    <tabColor theme="5" tint="-0.24997000396251678"/>
  </sheetPr>
  <dimension ref="A3:AJ41"/>
  <sheetViews>
    <sheetView showGridLines="0" showRowColHeaders="0" zoomScale="75" zoomScaleNormal="75" zoomScalePageLayoutView="0" workbookViewId="0" topLeftCell="A1">
      <selection activeCell="O14" sqref="O14:Q14"/>
    </sheetView>
  </sheetViews>
  <sheetFormatPr defaultColWidth="9.140625" defaultRowHeight="15"/>
  <cols>
    <col min="1" max="1" width="2.28125" style="0" customWidth="1"/>
    <col min="2" max="2" width="5.00390625" style="0" customWidth="1"/>
    <col min="16" max="16" width="10.57421875" style="0" customWidth="1"/>
    <col min="20" max="20" width="14.00390625" style="0" customWidth="1"/>
  </cols>
  <sheetData>
    <row r="3" spans="1:36" ht="26.25">
      <c r="A3" s="453"/>
      <c r="B3" s="598" t="s">
        <v>13</v>
      </c>
      <c r="C3" s="599"/>
      <c r="D3" s="599"/>
      <c r="E3" s="599"/>
      <c r="F3" s="599"/>
      <c r="G3" s="599"/>
      <c r="H3" s="599"/>
      <c r="I3" s="599"/>
      <c r="J3" s="599"/>
      <c r="K3" s="599"/>
      <c r="L3" s="599"/>
      <c r="M3" s="599"/>
      <c r="N3" s="599"/>
      <c r="O3" s="599"/>
      <c r="P3" s="599"/>
      <c r="Q3" s="599"/>
      <c r="R3" s="599"/>
      <c r="S3" s="599"/>
      <c r="T3" s="599"/>
      <c r="U3" s="599"/>
      <c r="V3" s="599"/>
      <c r="W3" s="599"/>
      <c r="X3" s="599"/>
      <c r="Y3" s="599"/>
      <c r="Z3" s="599"/>
      <c r="AA3" s="453"/>
      <c r="AB3" s="115"/>
      <c r="AC3" s="115"/>
      <c r="AD3" s="115"/>
      <c r="AE3" s="115"/>
      <c r="AF3" s="115"/>
      <c r="AG3" s="115"/>
      <c r="AH3" s="115"/>
      <c r="AI3" s="115"/>
      <c r="AJ3" s="115"/>
    </row>
    <row r="5" ht="21">
      <c r="C5" s="452" t="s">
        <v>735</v>
      </c>
    </row>
    <row r="10" ht="15.75" thickBot="1"/>
    <row r="11" spans="20:26" ht="15.75" thickTop="1">
      <c r="T11" s="484" t="s">
        <v>696</v>
      </c>
      <c r="U11" s="485"/>
      <c r="V11" s="485"/>
      <c r="W11" s="485"/>
      <c r="X11" s="485"/>
      <c r="Y11" s="485"/>
      <c r="Z11" s="486"/>
    </row>
    <row r="12" spans="15:26" ht="18">
      <c r="O12" s="3" t="s">
        <v>4</v>
      </c>
      <c r="T12" s="487"/>
      <c r="U12" s="232"/>
      <c r="V12" s="232"/>
      <c r="W12" s="232"/>
      <c r="X12" s="232"/>
      <c r="Y12" s="232"/>
      <c r="Z12" s="488"/>
    </row>
    <row r="13" spans="20:26" ht="15">
      <c r="T13" s="487"/>
      <c r="U13" s="232"/>
      <c r="V13" s="232"/>
      <c r="W13" s="232"/>
      <c r="X13" s="232"/>
      <c r="Y13" s="232"/>
      <c r="Z13" s="488"/>
    </row>
    <row r="14" spans="11:26" ht="15">
      <c r="K14" s="1" t="s">
        <v>0</v>
      </c>
      <c r="O14" s="601" t="s">
        <v>1</v>
      </c>
      <c r="P14" s="601"/>
      <c r="Q14" s="601"/>
      <c r="T14" s="487"/>
      <c r="U14" s="232"/>
      <c r="V14" s="232"/>
      <c r="W14" s="232"/>
      <c r="X14" s="232"/>
      <c r="Y14" s="232"/>
      <c r="Z14" s="488"/>
    </row>
    <row r="15" spans="15:26" ht="15.75" thickBot="1">
      <c r="O15" s="454"/>
      <c r="P15" s="454"/>
      <c r="Q15" s="454"/>
      <c r="T15" s="489"/>
      <c r="U15" s="490"/>
      <c r="V15" s="490"/>
      <c r="W15" s="490"/>
      <c r="X15" s="490"/>
      <c r="Y15" s="490"/>
      <c r="Z15" s="491"/>
    </row>
    <row r="16" spans="15:20" ht="16.5" thickTop="1">
      <c r="O16" s="600" t="s">
        <v>5</v>
      </c>
      <c r="P16" s="600"/>
      <c r="Q16" s="454"/>
      <c r="T16" s="2"/>
    </row>
    <row r="17" spans="15:17" ht="15">
      <c r="O17" s="454"/>
      <c r="P17" s="454"/>
      <c r="Q17" s="454"/>
    </row>
    <row r="18" spans="15:17" ht="15">
      <c r="O18" s="459" t="s">
        <v>6</v>
      </c>
      <c r="P18" s="26"/>
      <c r="Q18" s="26"/>
    </row>
    <row r="19" spans="15:17" ht="15">
      <c r="O19" s="454"/>
      <c r="P19" s="454"/>
      <c r="Q19" s="454"/>
    </row>
    <row r="20" spans="15:26" ht="15">
      <c r="O20" s="459" t="s">
        <v>7</v>
      </c>
      <c r="P20" s="460"/>
      <c r="Q20" s="454"/>
      <c r="T20" s="232"/>
      <c r="U20" s="232"/>
      <c r="V20" s="232"/>
      <c r="W20" s="232"/>
      <c r="X20" s="232"/>
      <c r="Y20" s="232"/>
      <c r="Z20" s="232"/>
    </row>
    <row r="21" spans="15:26" ht="15">
      <c r="O21" s="454"/>
      <c r="P21" s="454"/>
      <c r="Q21" s="454"/>
      <c r="T21" s="232"/>
      <c r="U21" s="232"/>
      <c r="V21" s="232"/>
      <c r="W21" s="232"/>
      <c r="X21" s="232"/>
      <c r="Y21" s="232"/>
      <c r="Z21" s="232"/>
    </row>
    <row r="22" spans="15:27" ht="15">
      <c r="O22" s="459" t="s">
        <v>329</v>
      </c>
      <c r="P22" s="460"/>
      <c r="Q22" s="454"/>
      <c r="T22" s="232"/>
      <c r="U22" s="232"/>
      <c r="V22" s="232"/>
      <c r="W22" s="232"/>
      <c r="X22" s="232"/>
      <c r="Y22" s="232"/>
      <c r="Z22" s="232"/>
      <c r="AA22" s="232"/>
    </row>
    <row r="23" spans="15:27" ht="15">
      <c r="O23" s="454"/>
      <c r="P23" s="454"/>
      <c r="Q23" s="454"/>
      <c r="T23" s="232"/>
      <c r="U23" s="232"/>
      <c r="V23" s="232"/>
      <c r="W23" s="232"/>
      <c r="X23" s="232"/>
      <c r="Y23" s="232"/>
      <c r="Z23" s="232"/>
      <c r="AA23" s="232"/>
    </row>
    <row r="24" spans="15:27" ht="15">
      <c r="O24" s="459" t="s">
        <v>12</v>
      </c>
      <c r="P24" s="460"/>
      <c r="Q24" s="461"/>
      <c r="T24" s="232"/>
      <c r="U24" s="232"/>
      <c r="V24" s="232"/>
      <c r="W24" s="232"/>
      <c r="X24" s="232"/>
      <c r="Y24" s="232"/>
      <c r="Z24" s="232"/>
      <c r="AA24" s="232"/>
    </row>
    <row r="25" spans="15:27" ht="15">
      <c r="O25" s="454"/>
      <c r="P25" s="454"/>
      <c r="Q25" s="454"/>
      <c r="T25" s="232"/>
      <c r="U25" s="232"/>
      <c r="V25" s="232"/>
      <c r="W25" s="232"/>
      <c r="X25" s="232"/>
      <c r="Y25" s="232"/>
      <c r="Z25" s="232"/>
      <c r="AA25" s="232"/>
    </row>
    <row r="26" spans="15:27" ht="15">
      <c r="O26" s="459" t="s">
        <v>9</v>
      </c>
      <c r="P26" s="460"/>
      <c r="Q26" s="460"/>
      <c r="T26" s="232"/>
      <c r="U26" s="232"/>
      <c r="V26" s="232"/>
      <c r="W26" s="232"/>
      <c r="X26" s="232"/>
      <c r="Y26" s="232"/>
      <c r="Z26" s="232"/>
      <c r="AA26" s="232"/>
    </row>
    <row r="27" spans="15:27" ht="15">
      <c r="O27" s="454"/>
      <c r="P27" s="454"/>
      <c r="Q27" s="454"/>
      <c r="T27" s="232"/>
      <c r="U27" s="232"/>
      <c r="V27" s="232"/>
      <c r="W27" s="232"/>
      <c r="X27" s="232"/>
      <c r="Y27" s="232"/>
      <c r="Z27" s="232"/>
      <c r="AA27" s="232"/>
    </row>
    <row r="28" spans="15:17" ht="15">
      <c r="O28" s="459" t="s">
        <v>10</v>
      </c>
      <c r="P28" s="460"/>
      <c r="Q28" s="454"/>
    </row>
    <row r="29" spans="15:24" ht="15">
      <c r="O29" s="454"/>
      <c r="P29" s="454"/>
      <c r="Q29" s="454"/>
      <c r="U29" s="424" t="s">
        <v>662</v>
      </c>
      <c r="V29" s="405"/>
      <c r="W29" s="405"/>
      <c r="X29" s="406"/>
    </row>
    <row r="30" spans="15:26" ht="15">
      <c r="O30" s="459" t="s">
        <v>495</v>
      </c>
      <c r="P30" s="459"/>
      <c r="Q30" s="455"/>
      <c r="R30" s="455"/>
      <c r="T30" s="232"/>
      <c r="U30" s="373"/>
      <c r="V30" s="232"/>
      <c r="W30" s="232"/>
      <c r="X30" s="374"/>
      <c r="Y30" s="232"/>
      <c r="Z30" s="232"/>
    </row>
    <row r="31" spans="15:26" ht="15">
      <c r="O31" s="454"/>
      <c r="P31" s="454"/>
      <c r="Q31" s="454"/>
      <c r="T31" s="232"/>
      <c r="U31" s="373"/>
      <c r="V31" s="232"/>
      <c r="W31" s="232"/>
      <c r="X31" s="374"/>
      <c r="Y31" s="232"/>
      <c r="Z31" s="232"/>
    </row>
    <row r="32" spans="15:26" ht="15">
      <c r="O32" s="459" t="s">
        <v>546</v>
      </c>
      <c r="P32" s="459"/>
      <c r="Q32" s="455"/>
      <c r="R32" s="455"/>
      <c r="T32" s="232"/>
      <c r="U32" s="377"/>
      <c r="V32" s="380"/>
      <c r="W32" s="380"/>
      <c r="X32" s="378"/>
      <c r="Y32" s="232"/>
      <c r="Z32" s="232"/>
    </row>
    <row r="33" spans="15:26" ht="15">
      <c r="O33" s="455"/>
      <c r="P33" s="456"/>
      <c r="Q33" s="456"/>
      <c r="T33" s="232"/>
      <c r="U33" s="232"/>
      <c r="V33" s="232"/>
      <c r="W33" s="232"/>
      <c r="X33" s="232"/>
      <c r="Y33" s="232"/>
      <c r="Z33" s="232"/>
    </row>
    <row r="34" spans="15:26" ht="15">
      <c r="O34" s="459" t="s">
        <v>638</v>
      </c>
      <c r="P34" s="459"/>
      <c r="Q34" s="455"/>
      <c r="R34" s="26"/>
      <c r="T34" s="232"/>
      <c r="U34" s="232"/>
      <c r="V34" s="232"/>
      <c r="W34" s="232"/>
      <c r="X34" s="232"/>
      <c r="Y34" s="232"/>
      <c r="Z34" s="232"/>
    </row>
    <row r="35" spans="15:26" ht="15">
      <c r="O35" s="455"/>
      <c r="P35" s="455"/>
      <c r="Q35" s="455"/>
      <c r="R35" s="26"/>
      <c r="T35" s="232"/>
      <c r="U35" s="232"/>
      <c r="V35" s="232"/>
      <c r="W35" s="232"/>
      <c r="X35" s="232"/>
      <c r="Y35" s="232"/>
      <c r="Z35" s="232"/>
    </row>
    <row r="36" spans="15:18" ht="15">
      <c r="O36" s="455" t="s">
        <v>11</v>
      </c>
      <c r="P36" s="459"/>
      <c r="Q36" s="455"/>
      <c r="R36" s="455"/>
    </row>
    <row r="37" spans="16:25" ht="15">
      <c r="P37" s="455"/>
      <c r="Q37" s="455"/>
      <c r="R37" s="455"/>
      <c r="T37" s="232"/>
      <c r="U37" s="232"/>
      <c r="V37" s="232"/>
      <c r="W37" s="232"/>
      <c r="X37" s="232"/>
      <c r="Y37" s="232"/>
    </row>
    <row r="38" spans="16:25" ht="15.75">
      <c r="P38" s="2"/>
      <c r="Q38" s="2"/>
      <c r="R38" s="2"/>
      <c r="T38" s="232"/>
      <c r="U38" s="232"/>
      <c r="V38" s="232"/>
      <c r="W38" s="232"/>
      <c r="X38" s="232"/>
      <c r="Y38" s="232"/>
    </row>
    <row r="39" spans="20:25" ht="15">
      <c r="T39" s="232"/>
      <c r="U39" s="232"/>
      <c r="V39" s="232"/>
      <c r="W39" s="232"/>
      <c r="X39" s="232"/>
      <c r="Y39" s="232"/>
    </row>
    <row r="40" spans="15:25" ht="15">
      <c r="O40" s="458"/>
      <c r="P40" t="s">
        <v>699</v>
      </c>
      <c r="T40" s="232"/>
      <c r="U40" s="232"/>
      <c r="V40" s="232"/>
      <c r="W40" s="232"/>
      <c r="X40" s="232"/>
      <c r="Y40" s="232"/>
    </row>
    <row r="41" spans="15:16" ht="15">
      <c r="O41" s="457"/>
      <c r="P41" t="s">
        <v>700</v>
      </c>
    </row>
  </sheetData>
  <sheetProtection password="A20C" sheet="1" objects="1" scenarios="1"/>
  <mergeCells count="3">
    <mergeCell ref="B3:Z3"/>
    <mergeCell ref="O16:P16"/>
    <mergeCell ref="O14:Q14"/>
  </mergeCells>
  <hyperlinks>
    <hyperlink ref="O16" location="Summary!B3" display="Summary Results"/>
    <hyperlink ref="O20" location="'Area Source'!B3" display="Area Source"/>
    <hyperlink ref="O22" location="' Elec &amp; Natural Gas'!A1" display="Electricity"/>
    <hyperlink ref="O24" location="'Water &amp; Wastewater'!B3" display="Water and Wastewater"/>
    <hyperlink ref="O26" location="'Solid Waste'!B3" display="Solid Waste"/>
    <hyperlink ref="O28" location="Ag!B3" display="Agriculture"/>
    <hyperlink ref="O16:P16" location="Results!A1" display="Summary Results"/>
    <hyperlink ref="O14" location="Settings!A1" display="Open an Urbemis Project File"/>
    <hyperlink ref="O18:Q18" location="Transportation!B3" display="Transportation"/>
    <hyperlink ref="O30:R30" location="'Off-Road Equip'!B3" display="Off-Road Equipment"/>
    <hyperlink ref="O32:R32" location="Refrigerants!B3" display="Refrigerants"/>
    <hyperlink ref="O34:Q34" location="Mitigation!B3" display="Mitigation"/>
    <hyperlink ref="O36:R36" location="Sequestration!B3" display="Carbon Sequestration"/>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wksOffRoadV">
    <tabColor theme="2" tint="-0.24997000396251678"/>
  </sheetPr>
  <dimension ref="A1:Z69"/>
  <sheetViews>
    <sheetView showGridLines="0" showRowColHeaders="0" zoomScale="90" zoomScaleNormal="90" zoomScalePageLayoutView="0" workbookViewId="0" topLeftCell="A1">
      <selection activeCell="B5" sqref="B5"/>
    </sheetView>
  </sheetViews>
  <sheetFormatPr defaultColWidth="9.140625" defaultRowHeight="15"/>
  <cols>
    <col min="1" max="1" width="4.421875" style="30" customWidth="1"/>
    <col min="2" max="2" width="14.57421875" style="30" customWidth="1"/>
    <col min="3" max="3" width="22.57421875" style="30" customWidth="1"/>
    <col min="4" max="4" width="16.57421875" style="30" customWidth="1"/>
    <col min="5" max="5" width="15.28125" style="30" customWidth="1"/>
    <col min="6" max="6" width="13.28125" style="30" customWidth="1"/>
    <col min="7" max="7" width="12.57421875" style="30" customWidth="1"/>
    <col min="8" max="8" width="5.28125" style="30" customWidth="1"/>
    <col min="9" max="9" width="21.57421875" style="30" customWidth="1"/>
    <col min="10" max="10" width="17.140625" style="30" customWidth="1"/>
    <col min="11" max="11" width="15.00390625" style="30" customWidth="1"/>
    <col min="12" max="12" width="14.00390625" style="30" customWidth="1"/>
    <col min="13" max="13" width="11.28125" style="30" customWidth="1"/>
    <col min="14" max="14" width="18.28125" style="30" customWidth="1"/>
    <col min="15" max="16384" width="9.140625" style="30" customWidth="1"/>
  </cols>
  <sheetData>
    <row r="1" spans="2:18" ht="15">
      <c r="B1" s="34" t="s">
        <v>177</v>
      </c>
      <c r="P1" s="34"/>
      <c r="Q1" s="34"/>
      <c r="R1" s="34"/>
    </row>
    <row r="3" spans="1:26" ht="26.25">
      <c r="A3" s="114"/>
      <c r="B3" s="627" t="s">
        <v>495</v>
      </c>
      <c r="C3" s="627"/>
      <c r="D3" s="627"/>
      <c r="E3" s="627"/>
      <c r="F3" s="114"/>
      <c r="G3" s="114"/>
      <c r="H3" s="114"/>
      <c r="I3" s="114"/>
      <c r="J3" s="114"/>
      <c r="K3" s="114"/>
      <c r="L3" s="114"/>
      <c r="M3" s="114"/>
      <c r="N3" s="114"/>
      <c r="O3" s="114"/>
      <c r="P3" s="114"/>
      <c r="Q3" s="114"/>
      <c r="R3" s="114"/>
      <c r="S3" s="114"/>
      <c r="T3" s="114"/>
      <c r="U3" s="114"/>
      <c r="V3" s="114"/>
      <c r="W3" s="114"/>
      <c r="X3" s="114"/>
      <c r="Y3" s="114"/>
      <c r="Z3" s="114"/>
    </row>
    <row r="4" spans="3:4" ht="15">
      <c r="C4" s="79" t="s">
        <v>679</v>
      </c>
      <c r="D4" s="30" t="str">
        <f>IF(+nrUseBaseline,"ON","OFF")</f>
        <v>ON</v>
      </c>
    </row>
    <row r="5" ht="15.75" thickBot="1"/>
    <row r="6" spans="3:14" ht="15.75">
      <c r="C6" s="265"/>
      <c r="D6" s="302"/>
      <c r="E6" s="616" t="s">
        <v>495</v>
      </c>
      <c r="F6" s="616"/>
      <c r="G6" s="616"/>
      <c r="H6" s="616"/>
      <c r="I6" s="616"/>
      <c r="J6" s="616"/>
      <c r="K6" s="616"/>
      <c r="L6" s="302"/>
      <c r="M6" s="302"/>
      <c r="N6" s="399"/>
    </row>
    <row r="7" spans="3:14" ht="15.75">
      <c r="C7" s="266"/>
      <c r="D7" s="628" t="s">
        <v>113</v>
      </c>
      <c r="E7" s="628"/>
      <c r="F7" s="628"/>
      <c r="G7" s="628"/>
      <c r="H7" s="40"/>
      <c r="I7" s="40"/>
      <c r="J7" s="628" t="s">
        <v>114</v>
      </c>
      <c r="K7" s="628"/>
      <c r="L7" s="628"/>
      <c r="M7" s="628"/>
      <c r="N7" s="390" t="s">
        <v>363</v>
      </c>
    </row>
    <row r="8" spans="3:14" ht="15.75" thickBot="1">
      <c r="C8" s="266" t="s">
        <v>177</v>
      </c>
      <c r="D8" s="29" t="s">
        <v>406</v>
      </c>
      <c r="E8" s="29" t="s">
        <v>407</v>
      </c>
      <c r="F8" s="29" t="s">
        <v>408</v>
      </c>
      <c r="G8" s="269" t="s">
        <v>175</v>
      </c>
      <c r="H8" s="40"/>
      <c r="I8" s="272"/>
      <c r="J8" s="29" t="s">
        <v>406</v>
      </c>
      <c r="K8" s="29" t="s">
        <v>407</v>
      </c>
      <c r="L8" s="29" t="s">
        <v>547</v>
      </c>
      <c r="M8" s="269" t="s">
        <v>175</v>
      </c>
      <c r="N8" s="267"/>
    </row>
    <row r="9" spans="3:14" ht="15">
      <c r="C9" s="332" t="s">
        <v>286</v>
      </c>
      <c r="D9" s="346">
        <f>IF(nrProjectYear&lt;2010,+B32*$D21*2.2/2204,+B32*$D21*2.2/2204*(1-(VLOOKUP(nrProjectYear,$B$39:$D$69,3)/100)))</f>
        <v>0</v>
      </c>
      <c r="E9" s="346">
        <f>IF(nrProjectYear&lt;2010,+B33*$D22*2.2/2204,+B33*$D22*2.2/2204*(1-(VLOOKUP(nrProjectYear,$B$39:$D$69,3)/100)))</f>
        <v>0</v>
      </c>
      <c r="F9" s="346">
        <f>+B34*$D23*2.2/2204</f>
        <v>0</v>
      </c>
      <c r="G9" s="241">
        <f>SUM(D9:F9)</f>
        <v>0</v>
      </c>
      <c r="H9" s="302"/>
      <c r="I9" s="332" t="s">
        <v>286</v>
      </c>
      <c r="J9" s="346">
        <f>IF(nrUseBaseline,IF(nrBaselineYear&lt;2010,+B32*$J21*2.2/2204,+B32*$J21*2.2/2204*(1-(VLOOKUP(nrBaselineYear,$B$39:$D$69,3)/100))),0)</f>
        <v>0</v>
      </c>
      <c r="K9" s="346">
        <f>IF(nrUseBaseline,IF(nrBaselineYear&lt;2010,+B33*$J22*2.2/2204,+B33*$J22*2.2/2204*(1-(VLOOKUP(nrBaselineYear,$B$39:$D$69,3)/100))),0)</f>
        <v>0</v>
      </c>
      <c r="L9" s="346">
        <f>IF(nrUseBaseline,+B34*$J23*2.2/2204,0)</f>
        <v>0</v>
      </c>
      <c r="M9" s="381">
        <f>IF(nrUseBaseline,SUM(J9:L9),0)</f>
        <v>0</v>
      </c>
      <c r="N9" s="267"/>
    </row>
    <row r="10" spans="3:14" ht="15">
      <c r="C10" s="333" t="s">
        <v>287</v>
      </c>
      <c r="D10" s="347">
        <f>+C32/(454*2204)*$D$21</f>
        <v>0</v>
      </c>
      <c r="E10" s="347">
        <f>+C33/(454*2204)*$D$22</f>
        <v>0</v>
      </c>
      <c r="F10" s="347">
        <f>+C34/(454*2204)*$D$23</f>
        <v>0</v>
      </c>
      <c r="G10" s="244">
        <f>SUM(D10:F10)</f>
        <v>0</v>
      </c>
      <c r="H10" s="40"/>
      <c r="I10" s="333" t="s">
        <v>287</v>
      </c>
      <c r="J10" s="347">
        <f>IF(nrUseBaseline,+C32/(454*2204)*$J$21,0)</f>
        <v>0</v>
      </c>
      <c r="K10" s="347">
        <f>IF(nrUseBaseline,+C33/(454*2204)*$J$22,0)</f>
        <v>0</v>
      </c>
      <c r="L10" s="347">
        <f>IF(nrUseBaseline,+C34/(454*2204)*$J$23,0)</f>
        <v>0</v>
      </c>
      <c r="M10" s="268">
        <f>IF(nrUseBaseline,SUM(J10:L10),0)</f>
        <v>0</v>
      </c>
      <c r="N10" s="267"/>
    </row>
    <row r="11" spans="3:14" ht="15">
      <c r="C11" s="333" t="s">
        <v>424</v>
      </c>
      <c r="D11" s="347">
        <f>+D32/(454*2204)*$D$21</f>
        <v>0</v>
      </c>
      <c r="E11" s="347">
        <f>+D33/(454*2204)*$D$22</f>
        <v>0</v>
      </c>
      <c r="F11" s="347">
        <f>+D34/(454*2204)*$D$23</f>
        <v>0</v>
      </c>
      <c r="G11" s="244">
        <f>SUM(D11:F11)</f>
        <v>0</v>
      </c>
      <c r="H11" s="40"/>
      <c r="I11" s="333" t="s">
        <v>424</v>
      </c>
      <c r="J11" s="347">
        <f>IF(nrUseBaseline,+D32/(454*2204)*$J$21,0)</f>
        <v>0</v>
      </c>
      <c r="K11" s="347">
        <f>IF(nrUseBaseline,+D33/(454*2204)*$J$22,0)</f>
        <v>0</v>
      </c>
      <c r="L11" s="347">
        <f>IF(nrUseBaseline,+D34/(454*2204)*$J$23,0)</f>
        <v>0</v>
      </c>
      <c r="M11" s="268">
        <f>IF(nrUseBaseline,SUM(J11:L11),0)</f>
        <v>0</v>
      </c>
      <c r="N11" s="267"/>
    </row>
    <row r="12" spans="3:14" ht="15.75" thickBot="1">
      <c r="C12" s="334" t="s">
        <v>289</v>
      </c>
      <c r="D12" s="348">
        <f>+D9+D10*21+D11*310</f>
        <v>0</v>
      </c>
      <c r="E12" s="348">
        <f>+E9+E10*21+E11*310</f>
        <v>0</v>
      </c>
      <c r="F12" s="348">
        <f>+F9+F10*21+F11*310</f>
        <v>0</v>
      </c>
      <c r="G12" s="246">
        <f>SUM(D12:F12)</f>
        <v>0</v>
      </c>
      <c r="H12" s="272"/>
      <c r="I12" s="334" t="s">
        <v>289</v>
      </c>
      <c r="J12" s="348">
        <f>IF(nrUseBaseline,+J9+J10*21+J11*310,0)</f>
        <v>0</v>
      </c>
      <c r="K12" s="348">
        <f>IF(nrUseBaseline,+K9+K10*21+K11*310,0)</f>
        <v>0</v>
      </c>
      <c r="L12" s="348">
        <f>IF(nrUseBaseline,+L9+L10*21+L11*310,0)</f>
        <v>0</v>
      </c>
      <c r="M12" s="324">
        <f>IF(nrUseBaseline,SUM(J12:L12),0)</f>
        <v>0</v>
      </c>
      <c r="N12" s="267"/>
    </row>
    <row r="13" spans="3:14" ht="16.5" thickBot="1">
      <c r="C13" s="334" t="s">
        <v>289</v>
      </c>
      <c r="D13" s="272"/>
      <c r="E13" s="272"/>
      <c r="F13" s="272"/>
      <c r="G13" s="272"/>
      <c r="H13" s="272"/>
      <c r="I13" s="272"/>
      <c r="J13" s="272"/>
      <c r="K13" s="272"/>
      <c r="L13" s="272"/>
      <c r="M13" s="272"/>
      <c r="N13" s="349">
        <f>IF(nrUseBaseline,(G12-M12),G12)</f>
        <v>0</v>
      </c>
    </row>
    <row r="16" ht="15.75" customHeight="1">
      <c r="B16" s="30" t="s">
        <v>499</v>
      </c>
    </row>
    <row r="17" ht="15">
      <c r="B17" s="30" t="s">
        <v>500</v>
      </c>
    </row>
    <row r="18" ht="15">
      <c r="B18" s="98"/>
    </row>
    <row r="19" spans="2:7" ht="15">
      <c r="B19" s="40"/>
      <c r="C19" s="40"/>
      <c r="D19" s="40"/>
      <c r="E19" s="40"/>
      <c r="F19" s="40"/>
      <c r="G19" s="40"/>
    </row>
    <row r="20" spans="3:13" ht="30">
      <c r="C20" s="96" t="s">
        <v>548</v>
      </c>
      <c r="D20" s="62" t="s">
        <v>501</v>
      </c>
      <c r="F20" s="39"/>
      <c r="G20" s="39"/>
      <c r="I20" s="96" t="s">
        <v>549</v>
      </c>
      <c r="J20" s="62" t="s">
        <v>501</v>
      </c>
      <c r="M20" s="30" t="s">
        <v>177</v>
      </c>
    </row>
    <row r="21" spans="3:10" ht="15">
      <c r="C21" s="60" t="s">
        <v>406</v>
      </c>
      <c r="D21" s="477"/>
      <c r="F21" s="81"/>
      <c r="G21" s="29"/>
      <c r="I21" s="60" t="s">
        <v>406</v>
      </c>
      <c r="J21" s="477"/>
    </row>
    <row r="22" spans="3:10" ht="15">
      <c r="C22" s="60" t="s">
        <v>407</v>
      </c>
      <c r="D22" s="477"/>
      <c r="F22" s="81"/>
      <c r="G22" s="29"/>
      <c r="I22" s="60" t="s">
        <v>407</v>
      </c>
      <c r="J22" s="477"/>
    </row>
    <row r="23" spans="3:10" ht="15">
      <c r="C23" s="60" t="s">
        <v>408</v>
      </c>
      <c r="D23" s="477"/>
      <c r="F23" s="81"/>
      <c r="G23" s="29"/>
      <c r="I23" s="60" t="s">
        <v>408</v>
      </c>
      <c r="J23" s="477"/>
    </row>
    <row r="29" spans="2:4" ht="15">
      <c r="B29" s="206" t="s">
        <v>566</v>
      </c>
      <c r="C29" s="207" t="s">
        <v>401</v>
      </c>
      <c r="D29" s="208" t="s">
        <v>402</v>
      </c>
    </row>
    <row r="30" spans="2:4" ht="15">
      <c r="B30" s="186" t="s">
        <v>21</v>
      </c>
      <c r="C30" s="187" t="s">
        <v>170</v>
      </c>
      <c r="D30" s="209" t="s">
        <v>169</v>
      </c>
    </row>
    <row r="31" spans="2:4" ht="15">
      <c r="B31" s="210" t="s">
        <v>404</v>
      </c>
      <c r="C31" s="211" t="s">
        <v>405</v>
      </c>
      <c r="D31" s="212" t="s">
        <v>405</v>
      </c>
    </row>
    <row r="32" spans="2:4" ht="15">
      <c r="B32" s="190">
        <v>8.81</v>
      </c>
      <c r="C32" s="190">
        <v>0.5</v>
      </c>
      <c r="D32" s="190">
        <v>0.22</v>
      </c>
    </row>
    <row r="33" spans="2:4" ht="15">
      <c r="B33" s="190">
        <v>10.15</v>
      </c>
      <c r="C33" s="190">
        <v>0.58</v>
      </c>
      <c r="D33" s="190">
        <v>0.26</v>
      </c>
    </row>
    <row r="34" spans="2:4" ht="15">
      <c r="B34" s="190">
        <v>5.74</v>
      </c>
      <c r="C34" s="190">
        <v>0.09</v>
      </c>
      <c r="D34" s="190">
        <v>0.41</v>
      </c>
    </row>
    <row r="37" spans="2:10" ht="15">
      <c r="B37" s="629" t="s">
        <v>550</v>
      </c>
      <c r="C37" s="630"/>
      <c r="D37" s="40"/>
      <c r="E37" s="40"/>
      <c r="F37" s="40"/>
      <c r="G37" s="40"/>
      <c r="H37" s="40"/>
      <c r="I37" s="40"/>
      <c r="J37" s="40"/>
    </row>
    <row r="38" spans="2:10" ht="30">
      <c r="B38" s="190" t="s">
        <v>56</v>
      </c>
      <c r="C38" s="198" t="s">
        <v>105</v>
      </c>
      <c r="D38" s="565" t="s">
        <v>725</v>
      </c>
      <c r="E38" s="40"/>
      <c r="F38" s="40"/>
      <c r="G38" s="40"/>
      <c r="H38" s="40"/>
      <c r="I38" s="40"/>
      <c r="J38" s="40"/>
    </row>
    <row r="39" spans="2:10" ht="15">
      <c r="B39" s="200">
        <v>2010</v>
      </c>
      <c r="C39" s="190">
        <v>0</v>
      </c>
      <c r="D39" s="566">
        <f>0.72*C39</f>
        <v>0</v>
      </c>
      <c r="E39" s="40" t="s">
        <v>106</v>
      </c>
      <c r="F39" s="40"/>
      <c r="G39" s="40"/>
      <c r="H39" s="40"/>
      <c r="I39" s="40"/>
      <c r="J39" s="40"/>
    </row>
    <row r="40" spans="2:10" ht="15">
      <c r="B40" s="200">
        <f aca="true" t="shared" si="0" ref="B40:B68">1+B39</f>
        <v>2011</v>
      </c>
      <c r="C40" s="190">
        <v>0.25</v>
      </c>
      <c r="D40" s="566">
        <f aca="true" t="shared" si="1" ref="D40:D69">0.72*C40</f>
        <v>0.18</v>
      </c>
      <c r="E40" s="40" t="s">
        <v>107</v>
      </c>
      <c r="F40" s="40"/>
      <c r="G40" s="40"/>
      <c r="H40" s="40"/>
      <c r="I40" s="40"/>
      <c r="J40" s="40"/>
    </row>
    <row r="41" spans="2:10" ht="15">
      <c r="B41" s="200">
        <f t="shared" si="0"/>
        <v>2012</v>
      </c>
      <c r="C41" s="190">
        <v>0.5</v>
      </c>
      <c r="D41" s="566">
        <f t="shared" si="1"/>
        <v>0.36</v>
      </c>
      <c r="E41" s="40" t="s">
        <v>108</v>
      </c>
      <c r="F41" s="40"/>
      <c r="G41" s="40"/>
      <c r="H41" s="40"/>
      <c r="I41" s="40"/>
      <c r="J41" s="40"/>
    </row>
    <row r="42" spans="2:10" ht="15">
      <c r="B42" s="200">
        <f t="shared" si="0"/>
        <v>2013</v>
      </c>
      <c r="C42" s="190">
        <v>1</v>
      </c>
      <c r="D42" s="566">
        <f t="shared" si="1"/>
        <v>0.72</v>
      </c>
      <c r="E42" s="40" t="s">
        <v>109</v>
      </c>
      <c r="F42" s="40"/>
      <c r="G42" s="40"/>
      <c r="H42" s="40"/>
      <c r="I42" s="40"/>
      <c r="J42" s="40"/>
    </row>
    <row r="43" spans="2:10" ht="15">
      <c r="B43" s="200">
        <f t="shared" si="0"/>
        <v>2014</v>
      </c>
      <c r="C43" s="190">
        <v>1.5</v>
      </c>
      <c r="D43" s="566">
        <f t="shared" si="1"/>
        <v>1.08</v>
      </c>
      <c r="E43" s="40" t="s">
        <v>110</v>
      </c>
      <c r="F43" s="40"/>
      <c r="G43" s="40"/>
      <c r="H43" s="40"/>
      <c r="I43" s="40"/>
      <c r="J43" s="40"/>
    </row>
    <row r="44" spans="2:10" ht="15">
      <c r="B44" s="200">
        <f t="shared" si="0"/>
        <v>2015</v>
      </c>
      <c r="C44" s="190">
        <v>2.5</v>
      </c>
      <c r="D44" s="566">
        <f t="shared" si="1"/>
        <v>1.7999999999999998</v>
      </c>
      <c r="E44" s="40" t="s">
        <v>111</v>
      </c>
      <c r="F44" s="40"/>
      <c r="G44" s="40"/>
      <c r="H44" s="40"/>
      <c r="I44" s="40"/>
      <c r="J44" s="40"/>
    </row>
    <row r="45" spans="2:10" ht="15">
      <c r="B45" s="200">
        <f t="shared" si="0"/>
        <v>2016</v>
      </c>
      <c r="C45" s="190">
        <v>3.5</v>
      </c>
      <c r="D45" s="566">
        <f t="shared" si="1"/>
        <v>2.52</v>
      </c>
      <c r="E45" s="40"/>
      <c r="F45" s="40"/>
      <c r="G45" s="40"/>
      <c r="H45" s="40"/>
      <c r="I45" s="40"/>
      <c r="J45" s="40"/>
    </row>
    <row r="46" spans="2:10" ht="15">
      <c r="B46" s="200">
        <f t="shared" si="0"/>
        <v>2017</v>
      </c>
      <c r="C46" s="190">
        <v>5</v>
      </c>
      <c r="D46" s="566">
        <f t="shared" si="1"/>
        <v>3.5999999999999996</v>
      </c>
      <c r="E46" s="40"/>
      <c r="F46" s="40"/>
      <c r="G46" s="40"/>
      <c r="H46" s="40"/>
      <c r="I46" s="40"/>
      <c r="J46" s="40"/>
    </row>
    <row r="47" spans="2:10" ht="15">
      <c r="B47" s="200">
        <f t="shared" si="0"/>
        <v>2018</v>
      </c>
      <c r="C47" s="190">
        <v>6.5</v>
      </c>
      <c r="D47" s="566">
        <f t="shared" si="1"/>
        <v>4.68</v>
      </c>
      <c r="E47" s="40"/>
      <c r="F47" s="40"/>
      <c r="G47" s="40"/>
      <c r="H47" s="40"/>
      <c r="I47" s="40"/>
      <c r="J47" s="40"/>
    </row>
    <row r="48" spans="2:10" ht="15">
      <c r="B48" s="200">
        <f t="shared" si="0"/>
        <v>2019</v>
      </c>
      <c r="C48" s="190">
        <v>8</v>
      </c>
      <c r="D48" s="566">
        <f t="shared" si="1"/>
        <v>5.76</v>
      </c>
      <c r="E48" s="40"/>
      <c r="F48" s="40"/>
      <c r="G48" s="40"/>
      <c r="H48" s="40"/>
      <c r="I48" s="40"/>
      <c r="J48" s="40"/>
    </row>
    <row r="49" spans="2:10" ht="15">
      <c r="B49" s="200">
        <f t="shared" si="0"/>
        <v>2020</v>
      </c>
      <c r="C49" s="190">
        <v>10</v>
      </c>
      <c r="D49" s="566">
        <f t="shared" si="1"/>
        <v>7.199999999999999</v>
      </c>
      <c r="E49" s="40"/>
      <c r="F49" s="40"/>
      <c r="G49" s="40"/>
      <c r="H49" s="40"/>
      <c r="I49" s="40"/>
      <c r="J49" s="40"/>
    </row>
    <row r="50" spans="2:10" ht="15">
      <c r="B50" s="200">
        <f t="shared" si="0"/>
        <v>2021</v>
      </c>
      <c r="C50" s="190">
        <v>10</v>
      </c>
      <c r="D50" s="566">
        <f t="shared" si="1"/>
        <v>7.199999999999999</v>
      </c>
      <c r="E50" s="40"/>
      <c r="F50" s="40"/>
      <c r="G50" s="40"/>
      <c r="H50" s="40"/>
      <c r="I50" s="40"/>
      <c r="J50" s="40"/>
    </row>
    <row r="51" spans="2:10" ht="15">
      <c r="B51" s="200">
        <f t="shared" si="0"/>
        <v>2022</v>
      </c>
      <c r="C51" s="190">
        <v>10</v>
      </c>
      <c r="D51" s="566">
        <f t="shared" si="1"/>
        <v>7.199999999999999</v>
      </c>
      <c r="E51" s="40"/>
      <c r="F51" s="40"/>
      <c r="G51" s="40"/>
      <c r="H51" s="40"/>
      <c r="I51" s="40"/>
      <c r="J51" s="40"/>
    </row>
    <row r="52" spans="2:10" ht="15">
      <c r="B52" s="200">
        <f t="shared" si="0"/>
        <v>2023</v>
      </c>
      <c r="C52" s="190">
        <v>10</v>
      </c>
      <c r="D52" s="566">
        <f t="shared" si="1"/>
        <v>7.199999999999999</v>
      </c>
      <c r="E52" s="40"/>
      <c r="F52" s="40"/>
      <c r="G52" s="40"/>
      <c r="H52" s="40"/>
      <c r="I52" s="40"/>
      <c r="J52" s="40"/>
    </row>
    <row r="53" spans="2:10" ht="15">
      <c r="B53" s="200">
        <f t="shared" si="0"/>
        <v>2024</v>
      </c>
      <c r="C53" s="190">
        <v>10</v>
      </c>
      <c r="D53" s="566">
        <f t="shared" si="1"/>
        <v>7.199999999999999</v>
      </c>
      <c r="E53" s="40"/>
      <c r="F53" s="40"/>
      <c r="G53" s="40"/>
      <c r="H53" s="40"/>
      <c r="I53" s="40"/>
      <c r="J53" s="40"/>
    </row>
    <row r="54" spans="2:10" ht="15">
      <c r="B54" s="200">
        <f t="shared" si="0"/>
        <v>2025</v>
      </c>
      <c r="C54" s="190">
        <v>10</v>
      </c>
      <c r="D54" s="566">
        <f t="shared" si="1"/>
        <v>7.199999999999999</v>
      </c>
      <c r="E54" s="40"/>
      <c r="F54" s="40"/>
      <c r="G54" s="40"/>
      <c r="H54" s="40"/>
      <c r="I54" s="40"/>
      <c r="J54" s="40"/>
    </row>
    <row r="55" spans="2:10" ht="15">
      <c r="B55" s="200">
        <f t="shared" si="0"/>
        <v>2026</v>
      </c>
      <c r="C55" s="190">
        <v>10</v>
      </c>
      <c r="D55" s="566">
        <f t="shared" si="1"/>
        <v>7.199999999999999</v>
      </c>
      <c r="E55" s="40"/>
      <c r="F55" s="40"/>
      <c r="G55" s="40"/>
      <c r="H55" s="40"/>
      <c r="I55" s="40"/>
      <c r="J55" s="40"/>
    </row>
    <row r="56" spans="2:10" ht="15">
      <c r="B56" s="200">
        <f t="shared" si="0"/>
        <v>2027</v>
      </c>
      <c r="C56" s="190">
        <v>10</v>
      </c>
      <c r="D56" s="566">
        <f t="shared" si="1"/>
        <v>7.199999999999999</v>
      </c>
      <c r="E56" s="40"/>
      <c r="F56" s="40"/>
      <c r="G56" s="40"/>
      <c r="H56" s="40"/>
      <c r="I56" s="40"/>
      <c r="J56" s="40"/>
    </row>
    <row r="57" spans="2:10" ht="15">
      <c r="B57" s="200">
        <f t="shared" si="0"/>
        <v>2028</v>
      </c>
      <c r="C57" s="190">
        <v>10</v>
      </c>
      <c r="D57" s="566">
        <f t="shared" si="1"/>
        <v>7.199999999999999</v>
      </c>
      <c r="E57" s="40"/>
      <c r="F57" s="40"/>
      <c r="G57" s="40"/>
      <c r="H57" s="40"/>
      <c r="I57" s="40"/>
      <c r="J57" s="40"/>
    </row>
    <row r="58" spans="2:10" ht="15">
      <c r="B58" s="200">
        <f t="shared" si="0"/>
        <v>2029</v>
      </c>
      <c r="C58" s="190">
        <v>10</v>
      </c>
      <c r="D58" s="566">
        <f t="shared" si="1"/>
        <v>7.199999999999999</v>
      </c>
      <c r="E58" s="40"/>
      <c r="F58" s="40"/>
      <c r="G58" s="40"/>
      <c r="H58" s="40"/>
      <c r="I58" s="40"/>
      <c r="J58" s="40"/>
    </row>
    <row r="59" spans="2:10" ht="15">
      <c r="B59" s="200">
        <f t="shared" si="0"/>
        <v>2030</v>
      </c>
      <c r="C59" s="190">
        <v>10</v>
      </c>
      <c r="D59" s="566">
        <f t="shared" si="1"/>
        <v>7.199999999999999</v>
      </c>
      <c r="E59" s="40"/>
      <c r="F59" s="40"/>
      <c r="G59" s="40"/>
      <c r="H59" s="40"/>
      <c r="I59" s="40"/>
      <c r="J59" s="40"/>
    </row>
    <row r="60" spans="2:10" ht="15">
      <c r="B60" s="200">
        <f t="shared" si="0"/>
        <v>2031</v>
      </c>
      <c r="C60" s="190">
        <v>10</v>
      </c>
      <c r="D60" s="566">
        <f t="shared" si="1"/>
        <v>7.199999999999999</v>
      </c>
      <c r="E60" s="40"/>
      <c r="F60" s="40"/>
      <c r="G60" s="40"/>
      <c r="H60" s="40"/>
      <c r="I60" s="40"/>
      <c r="J60" s="40"/>
    </row>
    <row r="61" spans="2:10" ht="15">
      <c r="B61" s="200">
        <f t="shared" si="0"/>
        <v>2032</v>
      </c>
      <c r="C61" s="190">
        <v>10</v>
      </c>
      <c r="D61" s="566">
        <f t="shared" si="1"/>
        <v>7.199999999999999</v>
      </c>
      <c r="E61" s="40"/>
      <c r="F61" s="40"/>
      <c r="G61" s="40"/>
      <c r="H61" s="40"/>
      <c r="I61" s="40"/>
      <c r="J61" s="40"/>
    </row>
    <row r="62" spans="2:10" ht="15">
      <c r="B62" s="200">
        <f t="shared" si="0"/>
        <v>2033</v>
      </c>
      <c r="C62" s="190">
        <v>10</v>
      </c>
      <c r="D62" s="566">
        <f t="shared" si="1"/>
        <v>7.199999999999999</v>
      </c>
      <c r="E62" s="40"/>
      <c r="F62" s="40"/>
      <c r="G62" s="40"/>
      <c r="H62" s="40"/>
      <c r="I62" s="40"/>
      <c r="J62" s="40"/>
    </row>
    <row r="63" spans="2:10" ht="15">
      <c r="B63" s="200">
        <f t="shared" si="0"/>
        <v>2034</v>
      </c>
      <c r="C63" s="190">
        <v>10</v>
      </c>
      <c r="D63" s="566">
        <f t="shared" si="1"/>
        <v>7.199999999999999</v>
      </c>
      <c r="E63" s="40"/>
      <c r="F63" s="40"/>
      <c r="G63" s="40"/>
      <c r="H63" s="40"/>
      <c r="I63" s="40"/>
      <c r="J63" s="40"/>
    </row>
    <row r="64" spans="2:10" ht="15">
      <c r="B64" s="200">
        <f t="shared" si="0"/>
        <v>2035</v>
      </c>
      <c r="C64" s="190">
        <v>10</v>
      </c>
      <c r="D64" s="566">
        <f t="shared" si="1"/>
        <v>7.199999999999999</v>
      </c>
      <c r="E64" s="40"/>
      <c r="F64" s="40"/>
      <c r="G64" s="40"/>
      <c r="H64" s="40"/>
      <c r="I64" s="40"/>
      <c r="J64" s="40"/>
    </row>
    <row r="65" spans="2:10" ht="15">
      <c r="B65" s="200">
        <f t="shared" si="0"/>
        <v>2036</v>
      </c>
      <c r="C65" s="190">
        <v>10</v>
      </c>
      <c r="D65" s="566">
        <f t="shared" si="1"/>
        <v>7.199999999999999</v>
      </c>
      <c r="E65" s="40"/>
      <c r="F65" s="40"/>
      <c r="G65" s="40"/>
      <c r="H65" s="40"/>
      <c r="I65" s="40"/>
      <c r="J65" s="40"/>
    </row>
    <row r="66" spans="2:10" ht="15">
      <c r="B66" s="200">
        <f t="shared" si="0"/>
        <v>2037</v>
      </c>
      <c r="C66" s="190">
        <v>10</v>
      </c>
      <c r="D66" s="566">
        <f t="shared" si="1"/>
        <v>7.199999999999999</v>
      </c>
      <c r="E66" s="40"/>
      <c r="F66" s="40"/>
      <c r="G66" s="40"/>
      <c r="H66" s="40"/>
      <c r="I66" s="40"/>
      <c r="J66" s="40"/>
    </row>
    <row r="67" spans="2:10" ht="15">
      <c r="B67" s="200">
        <f t="shared" si="0"/>
        <v>2038</v>
      </c>
      <c r="C67" s="190">
        <v>10</v>
      </c>
      <c r="D67" s="566">
        <f t="shared" si="1"/>
        <v>7.199999999999999</v>
      </c>
      <c r="E67" s="40"/>
      <c r="F67" s="40"/>
      <c r="G67" s="40"/>
      <c r="H67" s="40"/>
      <c r="I67" s="40"/>
      <c r="J67" s="40"/>
    </row>
    <row r="68" spans="2:10" ht="15">
      <c r="B68" s="200">
        <f t="shared" si="0"/>
        <v>2039</v>
      </c>
      <c r="C68" s="190">
        <v>10</v>
      </c>
      <c r="D68" s="566">
        <f t="shared" si="1"/>
        <v>7.199999999999999</v>
      </c>
      <c r="E68" s="40"/>
      <c r="F68" s="40"/>
      <c r="G68" s="40"/>
      <c r="H68" s="40"/>
      <c r="I68" s="40"/>
      <c r="J68" s="40"/>
    </row>
    <row r="69" spans="2:10" ht="15">
      <c r="B69" s="200">
        <f>+B68+1</f>
        <v>2040</v>
      </c>
      <c r="C69" s="190">
        <v>10</v>
      </c>
      <c r="D69" s="566">
        <f t="shared" si="1"/>
        <v>7.199999999999999</v>
      </c>
      <c r="E69" s="40"/>
      <c r="F69" s="40"/>
      <c r="G69" s="40"/>
      <c r="H69" s="40"/>
      <c r="I69" s="40"/>
      <c r="J69" s="40"/>
    </row>
  </sheetData>
  <sheetProtection password="A20C" sheet="1" objects="1" scenarios="1"/>
  <mergeCells count="5">
    <mergeCell ref="B3:E3"/>
    <mergeCell ref="D7:G7"/>
    <mergeCell ref="J7:M7"/>
    <mergeCell ref="B37:C37"/>
    <mergeCell ref="E6:K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wksRefrigeratnsV">
    <tabColor theme="5" tint="0.39998000860214233"/>
  </sheetPr>
  <dimension ref="A1:Z88"/>
  <sheetViews>
    <sheetView showGridLines="0" showRowColHeaders="0" zoomScale="90" zoomScaleNormal="90" zoomScalePageLayoutView="0" workbookViewId="0" topLeftCell="A1">
      <selection activeCell="A5" sqref="A5"/>
    </sheetView>
  </sheetViews>
  <sheetFormatPr defaultColWidth="9.140625" defaultRowHeight="15"/>
  <cols>
    <col min="1" max="1" width="5.7109375" style="30" customWidth="1"/>
    <col min="2" max="2" width="4.8515625" style="30" customWidth="1"/>
    <col min="3" max="3" width="27.8515625" style="30" customWidth="1"/>
    <col min="4" max="4" width="13.140625" style="30" customWidth="1"/>
    <col min="5" max="6" width="13.7109375" style="30" customWidth="1"/>
    <col min="7" max="7" width="17.421875" style="30" customWidth="1"/>
    <col min="8" max="8" width="13.7109375" style="30" customWidth="1"/>
    <col min="9" max="9" width="31.28125" style="30" customWidth="1"/>
    <col min="10" max="10" width="9.7109375" style="30" customWidth="1"/>
    <col min="11" max="11" width="13.7109375" style="30" customWidth="1"/>
    <col min="12" max="12" width="16.421875" style="30" customWidth="1"/>
    <col min="13" max="13" width="17.8515625" style="30" customWidth="1"/>
    <col min="14" max="14" width="13.7109375" style="30" customWidth="1"/>
    <col min="15" max="15" width="13.8515625" style="30" customWidth="1"/>
    <col min="16" max="17" width="13.421875" style="30" customWidth="1"/>
    <col min="18" max="18" width="14.140625" style="30" customWidth="1"/>
    <col min="19" max="16384" width="9.140625" style="30" customWidth="1"/>
  </cols>
  <sheetData>
    <row r="1" spans="2:5" ht="15">
      <c r="B1" s="34"/>
      <c r="C1" s="34"/>
      <c r="D1" s="34"/>
      <c r="E1" s="34"/>
    </row>
    <row r="3" spans="1:26" ht="26.25">
      <c r="A3" s="115"/>
      <c r="B3" s="598" t="s">
        <v>546</v>
      </c>
      <c r="C3" s="598"/>
      <c r="D3" s="598"/>
      <c r="E3" s="598"/>
      <c r="F3" s="115"/>
      <c r="G3" s="115"/>
      <c r="H3" s="115"/>
      <c r="I3" s="115"/>
      <c r="J3" s="115"/>
      <c r="K3" s="115"/>
      <c r="L3" s="115"/>
      <c r="M3" s="115"/>
      <c r="N3" s="115"/>
      <c r="O3" s="115"/>
      <c r="P3" s="115"/>
      <c r="Q3" s="115"/>
      <c r="R3" s="115"/>
      <c r="S3" s="115"/>
      <c r="T3" s="115"/>
      <c r="U3" s="115"/>
      <c r="V3" s="115"/>
      <c r="W3" s="115"/>
      <c r="X3" s="115"/>
      <c r="Y3" s="115"/>
      <c r="Z3" s="115"/>
    </row>
    <row r="4" spans="3:4" ht="15">
      <c r="C4" s="79" t="s">
        <v>679</v>
      </c>
      <c r="D4" s="30" t="str">
        <f>IF(+nrUseBaseline,"ON","OFF")</f>
        <v>ON</v>
      </c>
    </row>
    <row r="5" ht="15.75" thickBot="1"/>
    <row r="6" spans="3:13" ht="15.75">
      <c r="C6" s="265"/>
      <c r="D6" s="302"/>
      <c r="E6" s="616" t="s">
        <v>658</v>
      </c>
      <c r="F6" s="587"/>
      <c r="G6" s="588"/>
      <c r="I6" s="265"/>
      <c r="J6" s="302"/>
      <c r="K6" s="616" t="s">
        <v>659</v>
      </c>
      <c r="L6" s="587"/>
      <c r="M6" s="588"/>
    </row>
    <row r="7" spans="3:13" ht="16.5" thickBot="1">
      <c r="C7" s="266"/>
      <c r="D7" s="40"/>
      <c r="E7" s="97" t="s">
        <v>113</v>
      </c>
      <c r="F7" s="395" t="s">
        <v>114</v>
      </c>
      <c r="G7" s="396" t="s">
        <v>363</v>
      </c>
      <c r="H7"/>
      <c r="I7" s="266"/>
      <c r="J7" s="40"/>
      <c r="K7" s="97" t="s">
        <v>113</v>
      </c>
      <c r="L7" s="395" t="s">
        <v>114</v>
      </c>
      <c r="M7" s="396" t="s">
        <v>363</v>
      </c>
    </row>
    <row r="8" spans="3:13" ht="15">
      <c r="C8" s="631" t="s">
        <v>554</v>
      </c>
      <c r="D8" s="632"/>
      <c r="E8" s="302">
        <f>SUM(I14:I17)</f>
        <v>0</v>
      </c>
      <c r="F8" s="321">
        <f>IF(nrUseBaseline,SUM(R14:R17),0)</f>
        <v>0</v>
      </c>
      <c r="G8" s="394"/>
      <c r="H8"/>
      <c r="I8" s="631" t="s">
        <v>554</v>
      </c>
      <c r="J8" s="632"/>
      <c r="K8" s="302">
        <f>SUM(I14:I17)*((100-Mitigation!E62)/100)</f>
        <v>0</v>
      </c>
      <c r="L8" s="321">
        <f>IF(nrUseBaseline,SUM(R14:R17),0)</f>
        <v>0</v>
      </c>
      <c r="M8" s="394"/>
    </row>
    <row r="9" spans="3:13" ht="15">
      <c r="C9" s="633" t="s">
        <v>555</v>
      </c>
      <c r="D9" s="624"/>
      <c r="E9" s="40">
        <f>SUM(I19:I22)</f>
        <v>0</v>
      </c>
      <c r="F9" s="322">
        <f>IF(nrUseBaseline,SUM(R19:R22),0)</f>
        <v>0</v>
      </c>
      <c r="G9" s="394"/>
      <c r="H9"/>
      <c r="I9" s="633" t="s">
        <v>555</v>
      </c>
      <c r="J9" s="624"/>
      <c r="K9" s="40">
        <f>SUM(I19:I22)*((100-Mitigation!E62)/100)</f>
        <v>0</v>
      </c>
      <c r="L9" s="322">
        <f>IF(nrUseBaseline,SUM(R19:R22),0)</f>
        <v>0</v>
      </c>
      <c r="M9" s="394"/>
    </row>
    <row r="10" spans="3:13" ht="15.75" thickBot="1">
      <c r="C10" s="634" t="s">
        <v>627</v>
      </c>
      <c r="D10" s="635"/>
      <c r="E10" s="272">
        <f>SUM(E8:E9)</f>
        <v>0</v>
      </c>
      <c r="F10" s="323">
        <f>IF(nrUseBaseline,SUM(F8:F9),0)</f>
        <v>0</v>
      </c>
      <c r="G10" s="394"/>
      <c r="H10"/>
      <c r="I10" s="634" t="s">
        <v>627</v>
      </c>
      <c r="J10" s="635"/>
      <c r="K10" s="272">
        <f>SUM(K8:K9)</f>
        <v>0</v>
      </c>
      <c r="L10" s="323">
        <f>IF(nrUseBaseline,SUM(L8:L9),0)</f>
        <v>0</v>
      </c>
      <c r="M10" s="394"/>
    </row>
    <row r="11" spans="3:13" ht="16.5" thickBot="1">
      <c r="C11" s="271"/>
      <c r="D11" s="272"/>
      <c r="E11" s="272"/>
      <c r="F11" s="272"/>
      <c r="G11" s="325">
        <f>IF(nrUseBaseline,E10-F10,E10)</f>
        <v>0</v>
      </c>
      <c r="H11"/>
      <c r="I11" s="271"/>
      <c r="J11" s="272"/>
      <c r="K11" s="272"/>
      <c r="L11" s="272"/>
      <c r="M11" s="325">
        <f>IF(nrUseBaseline,K10-L10,K10)</f>
        <v>0</v>
      </c>
    </row>
    <row r="12" spans="2:14" ht="15">
      <c r="B12" s="78"/>
      <c r="C12" s="78"/>
      <c r="I12" s="98" t="s">
        <v>651</v>
      </c>
      <c r="L12" s="34" t="s">
        <v>638</v>
      </c>
      <c r="M12" s="34"/>
      <c r="N12" s="34"/>
    </row>
    <row r="13" spans="2:18" ht="75">
      <c r="B13" s="41" t="s">
        <v>552</v>
      </c>
      <c r="C13" s="92"/>
      <c r="D13" s="116" t="s">
        <v>504</v>
      </c>
      <c r="E13" s="116" t="s">
        <v>505</v>
      </c>
      <c r="F13" s="116" t="s">
        <v>506</v>
      </c>
      <c r="G13" s="116" t="s">
        <v>507</v>
      </c>
      <c r="H13" s="120" t="s">
        <v>508</v>
      </c>
      <c r="I13" s="116" t="s">
        <v>352</v>
      </c>
      <c r="K13" s="41" t="s">
        <v>556</v>
      </c>
      <c r="L13" s="92"/>
      <c r="M13" s="116" t="s">
        <v>504</v>
      </c>
      <c r="N13" s="116" t="s">
        <v>505</v>
      </c>
      <c r="O13" s="116" t="s">
        <v>506</v>
      </c>
      <c r="P13" s="116" t="s">
        <v>507</v>
      </c>
      <c r="Q13" s="120" t="s">
        <v>508</v>
      </c>
      <c r="R13" s="116" t="s">
        <v>352</v>
      </c>
    </row>
    <row r="14" spans="2:18" ht="15">
      <c r="B14" s="124" t="s">
        <v>177</v>
      </c>
      <c r="C14" s="122" t="s">
        <v>509</v>
      </c>
      <c r="D14" s="478"/>
      <c r="E14" s="123">
        <f>+D14*D30/100</f>
        <v>0</v>
      </c>
      <c r="F14" s="479"/>
      <c r="G14" s="123">
        <f>IF(nrProjectYear&lt;2010,HLOOKUP(2010,E41:O45,5),HLOOKUP(nrProjectYear,E41:O45,5))</f>
        <v>2663.6000000000004</v>
      </c>
      <c r="H14" s="479"/>
      <c r="I14" s="123">
        <f>IF(F14&gt;0,IF(H14&gt;0,F14*H14/2204,F14*G14/2204),IF(H14&gt;0,H14*E14/2204,G14*E14/2204))</f>
        <v>0</v>
      </c>
      <c r="K14" s="125" t="s">
        <v>558</v>
      </c>
      <c r="L14" s="126"/>
      <c r="M14" s="478"/>
      <c r="N14" s="123">
        <f>+M14*D30/100</f>
        <v>0</v>
      </c>
      <c r="O14" s="479"/>
      <c r="P14" s="123">
        <f>IF(nrBaselineYear&lt;2010,HLOOKUP(2010,E41:O45,5),HLOOKUP(nrBaselineYear,E41:O45,5))</f>
        <v>2594.0600000000004</v>
      </c>
      <c r="Q14" s="479"/>
      <c r="R14" s="123">
        <f>IF(O14&gt;0,IF(Q14&gt;0,O14*Q14/2204,O14*P14/2204),IF(Q14&gt;0,Q14*N14/2204,P14*N14/2204))</f>
        <v>0</v>
      </c>
    </row>
    <row r="15" spans="2:18" ht="15">
      <c r="B15" s="124"/>
      <c r="C15" s="122" t="s">
        <v>510</v>
      </c>
      <c r="D15" s="478"/>
      <c r="E15" s="123">
        <f>+D15*D31/100</f>
        <v>0</v>
      </c>
      <c r="F15" s="479"/>
      <c r="G15" s="123">
        <f>IF(nrProjectYear&lt;2010,HLOOKUP(2010,E41:O52,12),HLOOKUP(nrProjectYear,E41:O52,12))</f>
        <v>2430.1209200000003</v>
      </c>
      <c r="H15" s="479"/>
      <c r="I15" s="123">
        <f>IF(F15&gt;0,IF(H15&gt;0,F15*H15/2204,F15*G15/2204),IF(H15&gt;0,H15*E15/2204,G15*E15/2204))</f>
        <v>0</v>
      </c>
      <c r="K15" s="125" t="s">
        <v>559</v>
      </c>
      <c r="L15" s="126"/>
      <c r="M15" s="478"/>
      <c r="N15" s="123">
        <f>+M15*D31/100</f>
        <v>0</v>
      </c>
      <c r="O15" s="479"/>
      <c r="P15" s="123">
        <f>IF(nrBaselineYear&lt;2010,HLOOKUP(2010,E41:O52,12),HLOOKUP(nrBaselineYear,E41:O52,12))</f>
        <v>2438.02046</v>
      </c>
      <c r="Q15" s="479"/>
      <c r="R15" s="123">
        <f>IF(O15&gt;0,IF(Q15&gt;0,O15*Q15/2204,O15*P15/2204),IF(Q15&gt;0,Q15*N15/2204,P15*N15/2204))</f>
        <v>0</v>
      </c>
    </row>
    <row r="16" spans="2:18" ht="15">
      <c r="B16" s="124"/>
      <c r="C16" s="122" t="s">
        <v>511</v>
      </c>
      <c r="D16" s="478"/>
      <c r="E16" s="123">
        <f>+D16*D32/100</f>
        <v>0</v>
      </c>
      <c r="F16" s="479"/>
      <c r="G16" s="123">
        <f>IF(nrProjectYear&lt;2010,HLOOKUP(2010,E41:O63,23),HLOOKUP(nrProjectYear,E41:O63,23))</f>
        <v>2018.9159999999997</v>
      </c>
      <c r="H16" s="479"/>
      <c r="I16" s="123">
        <f>IF(F16&gt;0,IF(H16&gt;0,F16*H16/2204,F16*G16/2204),IF(H16&gt;0,H16*E16/2204,G16*E16/2204))</f>
        <v>0</v>
      </c>
      <c r="K16" s="125" t="s">
        <v>560</v>
      </c>
      <c r="L16" s="126"/>
      <c r="M16" s="478"/>
      <c r="N16" s="123">
        <f>+M16*D32/100</f>
        <v>0</v>
      </c>
      <c r="O16" s="479"/>
      <c r="P16" s="123">
        <f>IF(nrBaselineYear&lt;2010,HLOOKUP(2010,E41:O63,23),HLOOKUP(nrBaselineYear,E41:O63,23))</f>
        <v>2120.7554999999998</v>
      </c>
      <c r="Q16" s="479"/>
      <c r="R16" s="123">
        <f>IF(O16&gt;0,IF(Q16&gt;0,O16*Q16/2204,O16*P16/2204),IF(Q16&gt;0,Q16*N16/2204,P16*N16/2204))</f>
        <v>0</v>
      </c>
    </row>
    <row r="17" spans="2:18" ht="15">
      <c r="B17" s="124"/>
      <c r="C17" s="122" t="s">
        <v>512</v>
      </c>
      <c r="D17" s="478"/>
      <c r="E17" s="123">
        <f>+D17*D33/100</f>
        <v>0</v>
      </c>
      <c r="F17" s="479"/>
      <c r="G17" s="123">
        <f>IF(nrProjectYear&lt;2010,HLOOKUP(2010,E41:O70,30),HLOOKUP(nrProjectYear,E41:O70,30))</f>
        <v>2087.2960000000003</v>
      </c>
      <c r="H17" s="479"/>
      <c r="I17" s="123">
        <f>IF(F17&gt;0,IF(H17&gt;0,F17*H17/2204,F17*G17/2204),IF(H17&gt;0,H17*E17/2204,G17*E17/2204))</f>
        <v>0</v>
      </c>
      <c r="K17" s="125" t="s">
        <v>561</v>
      </c>
      <c r="L17" s="126"/>
      <c r="M17" s="478"/>
      <c r="N17" s="123">
        <f>+M17*D33/100</f>
        <v>0</v>
      </c>
      <c r="O17" s="479"/>
      <c r="P17" s="123">
        <f>IF(nrBaselineYear&lt;2010,HLOOKUP(2010,E41:O70,30),HLOOKUP(nrBaselineYear,E41:O70,30))</f>
        <v>2065.0480000000002</v>
      </c>
      <c r="Q17" s="479"/>
      <c r="R17" s="123">
        <f>IF(O17&gt;0,IF(Q17&gt;0,O17*Q17/2204,O17*P17/2204),IF(Q17&gt;0,Q17*N17/2204,P17*N17/2204))</f>
        <v>0</v>
      </c>
    </row>
    <row r="18" spans="2:18" ht="15">
      <c r="B18" s="117" t="s">
        <v>553</v>
      </c>
      <c r="C18" s="117"/>
      <c r="D18" s="118"/>
      <c r="E18" s="118"/>
      <c r="F18" s="119"/>
      <c r="G18" s="118"/>
      <c r="H18" s="119"/>
      <c r="I18" s="118"/>
      <c r="K18" s="117" t="s">
        <v>557</v>
      </c>
      <c r="L18" s="117"/>
      <c r="M18" s="118"/>
      <c r="N18" s="118"/>
      <c r="O18" s="119"/>
      <c r="P18" s="118"/>
      <c r="Q18" s="119"/>
      <c r="R18" s="118"/>
    </row>
    <row r="19" spans="2:18" ht="15">
      <c r="B19" s="124" t="s">
        <v>514</v>
      </c>
      <c r="C19" s="122" t="s">
        <v>515</v>
      </c>
      <c r="D19" s="478"/>
      <c r="E19" s="123">
        <f>+D19*D35/100</f>
        <v>0</v>
      </c>
      <c r="F19" s="479"/>
      <c r="G19" s="123">
        <f>IF(nrProjectYear&lt;2010,HLOOKUP(2010,E41:O82,42),HLOOKUP(nrProjectYear,E41:O82,42))</f>
        <v>1495.1673999999998</v>
      </c>
      <c r="H19" s="479"/>
      <c r="I19" s="123">
        <f>IF(F19&gt;0,IF(H19&gt;0,F19*H19/2204,F19*G19/2204),IF(H19&gt;0,H19*E19/2204,G19*E19/2204))</f>
        <v>0</v>
      </c>
      <c r="K19" s="124" t="s">
        <v>562</v>
      </c>
      <c r="L19" s="122"/>
      <c r="M19" s="478"/>
      <c r="N19" s="123">
        <f>+M19*D35/100</f>
        <v>0</v>
      </c>
      <c r="O19" s="479"/>
      <c r="P19" s="123">
        <f>IF(nrBaselineYear&lt;2010,HLOOKUP(2010,E41:O82,42),HLOOKUP(nrBaselineYear,E41:O82,42))</f>
        <v>1513.3961999999997</v>
      </c>
      <c r="Q19" s="479"/>
      <c r="R19" s="123">
        <f>IF(O19&gt;0,IF(Q19&gt;0,O19*Q19/2204,O19*P19/2204),IF(Q19&gt;0,Q19*N19/2204,P19*N19/2204))</f>
        <v>0</v>
      </c>
    </row>
    <row r="20" spans="2:18" ht="15">
      <c r="B20" s="124"/>
      <c r="C20" s="122" t="s">
        <v>516</v>
      </c>
      <c r="D20" s="478"/>
      <c r="E20" s="123">
        <f>+D20*D36/100</f>
        <v>0</v>
      </c>
      <c r="F20" s="479"/>
      <c r="G20" s="123">
        <f>IF(nrProjectYear&lt;2010,HLOOKUP(2010,E41:O82,42),HLOOKUP(nrProjectYear,E41:O82,42))</f>
        <v>1495.1673999999998</v>
      </c>
      <c r="H20" s="479"/>
      <c r="I20" s="123">
        <f>IF(F20&gt;0,IF(H20&gt;0,F20*H20/2204,F20*G20/2204),IF(H20&gt;0,H20*E20/2204,G20*E20/2204))</f>
        <v>0</v>
      </c>
      <c r="K20" s="124" t="s">
        <v>563</v>
      </c>
      <c r="L20" s="122"/>
      <c r="M20" s="478"/>
      <c r="N20" s="123">
        <f>+M20*D36/100</f>
        <v>0</v>
      </c>
      <c r="O20" s="479"/>
      <c r="P20" s="123">
        <f>IF(nrBaselineYear&lt;2010,HLOOKUP(2010,E41:O82,42),HLOOKUP(nrBaselineYear,E41:O82,42))</f>
        <v>1513.3961999999997</v>
      </c>
      <c r="Q20" s="479"/>
      <c r="R20" s="123">
        <f>IF(O20&gt;0,IF(Q20&gt;0,O20*Q20/2204,O20*P20/2204),IF(Q20&gt;0,Q20*N20/2204,P20*N20/2204))</f>
        <v>0</v>
      </c>
    </row>
    <row r="21" spans="2:18" ht="15">
      <c r="B21" s="124"/>
      <c r="C21" s="122" t="s">
        <v>517</v>
      </c>
      <c r="D21" s="478"/>
      <c r="E21" s="123">
        <f>+D21*D37/100</f>
        <v>0</v>
      </c>
      <c r="F21" s="479"/>
      <c r="G21" s="123">
        <f>IF(nrProjectYear&lt;2010,HLOOKUP(2010,E41:O82,42),HLOOKUP(nrProjectYear,E41:O82,42))</f>
        <v>1495.1673999999998</v>
      </c>
      <c r="H21" s="479"/>
      <c r="I21" s="123">
        <f>IF(F21&gt;0,IF(H21&gt;0,F21*H21/2204,F21*G21/2204),IF(H21&gt;0,H21*E21/2204,G21*E21/2204))</f>
        <v>0</v>
      </c>
      <c r="K21" s="124" t="s">
        <v>564</v>
      </c>
      <c r="L21" s="122"/>
      <c r="M21" s="478"/>
      <c r="N21" s="123">
        <f>+M21*D37/100</f>
        <v>0</v>
      </c>
      <c r="O21" s="479"/>
      <c r="P21" s="123">
        <f>IF(nrBaselineYear&lt;2010,HLOOKUP(2010,E41:O82,42),HLOOKUP(nrBaselineYear,E41:O82,42))</f>
        <v>1513.3961999999997</v>
      </c>
      <c r="Q21" s="479"/>
      <c r="R21" s="123">
        <f>IF(O21&gt;0,IF(Q21&gt;0,O21*Q21/2204,O21*P21/2204),IF(Q21&gt;0,Q21*N21/2204,P21*N21/2204))</f>
        <v>0</v>
      </c>
    </row>
    <row r="22" spans="2:18" ht="15">
      <c r="B22" s="124"/>
      <c r="C22" s="122" t="s">
        <v>518</v>
      </c>
      <c r="D22" s="478"/>
      <c r="E22" s="123">
        <f>+D22*D38/100</f>
        <v>0</v>
      </c>
      <c r="F22" s="479"/>
      <c r="G22" s="123">
        <f>IF(nrProjectYear&lt;2010,HLOOKUP(2010,E41:O88,48),HLOOKUP(nrProjectYear,E41:O88,48))</f>
        <v>1575.1204</v>
      </c>
      <c r="H22" s="479"/>
      <c r="I22" s="123">
        <f>IF(F22&gt;0,IF(H22&gt;0,F22*H22/2204,F22*G22/2204),IF(H22&gt;0,H22*E22/2204,G22*E22/2204))</f>
        <v>0</v>
      </c>
      <c r="K22" s="124" t="s">
        <v>565</v>
      </c>
      <c r="L22" s="122"/>
      <c r="M22" s="478"/>
      <c r="N22" s="123">
        <f>+M22*D38/100</f>
        <v>0</v>
      </c>
      <c r="O22" s="479"/>
      <c r="P22" s="123">
        <f>IF(nrBaselineYear&lt;2010,HLOOKUP(2010,E41:O88,48),HLOOKUP(nrBaselineYear,E41:O88,48))</f>
        <v>1561.3492</v>
      </c>
      <c r="Q22" s="479"/>
      <c r="R22" s="123">
        <f>IF(O22&gt;0,IF(Q22&gt;0,O22*Q22/2204,O22*P22/2204),IF(Q22&gt;0,Q22*N22/2204,P22*N22/2204))</f>
        <v>0</v>
      </c>
    </row>
    <row r="23" spans="2:18" ht="15">
      <c r="B23" s="30" t="s">
        <v>551</v>
      </c>
      <c r="I23" s="29"/>
      <c r="K23" s="30" t="s">
        <v>551</v>
      </c>
      <c r="R23" s="29"/>
    </row>
    <row r="24" ht="15">
      <c r="I24" s="29"/>
    </row>
    <row r="28" spans="2:5" ht="15">
      <c r="B28" s="189" t="s">
        <v>519</v>
      </c>
      <c r="C28" s="189"/>
      <c r="D28" s="190" t="s">
        <v>520</v>
      </c>
      <c r="E28" s="30" t="s">
        <v>502</v>
      </c>
    </row>
    <row r="29" spans="2:4" ht="15">
      <c r="B29" s="189" t="s">
        <v>503</v>
      </c>
      <c r="C29" s="189"/>
      <c r="D29" s="190" t="s">
        <v>521</v>
      </c>
    </row>
    <row r="30" spans="2:4" ht="15">
      <c r="B30" s="189" t="s">
        <v>177</v>
      </c>
      <c r="C30" s="189" t="s">
        <v>509</v>
      </c>
      <c r="D30" s="190">
        <v>10</v>
      </c>
    </row>
    <row r="31" spans="2:4" ht="15">
      <c r="B31" s="189"/>
      <c r="C31" s="189" t="s">
        <v>510</v>
      </c>
      <c r="D31" s="190">
        <v>10</v>
      </c>
    </row>
    <row r="32" spans="2:4" ht="15">
      <c r="B32" s="189"/>
      <c r="C32" s="189" t="s">
        <v>511</v>
      </c>
      <c r="D32" s="190">
        <v>7</v>
      </c>
    </row>
    <row r="33" spans="2:4" ht="15">
      <c r="B33" s="189"/>
      <c r="C33" s="189" t="s">
        <v>512</v>
      </c>
      <c r="D33" s="190">
        <v>5</v>
      </c>
    </row>
    <row r="34" spans="2:4" ht="15">
      <c r="B34" s="189" t="s">
        <v>513</v>
      </c>
      <c r="C34" s="189"/>
      <c r="D34" s="190"/>
    </row>
    <row r="35" spans="2:4" ht="15">
      <c r="B35" s="189" t="s">
        <v>514</v>
      </c>
      <c r="C35" s="189" t="s">
        <v>515</v>
      </c>
      <c r="D35" s="190">
        <v>2</v>
      </c>
    </row>
    <row r="36" spans="2:4" ht="15">
      <c r="B36" s="189"/>
      <c r="C36" s="189" t="s">
        <v>516</v>
      </c>
      <c r="D36" s="190">
        <v>1</v>
      </c>
    </row>
    <row r="37" spans="2:4" ht="15">
      <c r="B37" s="189"/>
      <c r="C37" s="189" t="s">
        <v>517</v>
      </c>
      <c r="D37" s="190">
        <v>3.5</v>
      </c>
    </row>
    <row r="38" spans="2:4" ht="15">
      <c r="B38" s="189"/>
      <c r="C38" s="189" t="s">
        <v>518</v>
      </c>
      <c r="D38" s="190">
        <v>5</v>
      </c>
    </row>
    <row r="40" spans="2:15" ht="15">
      <c r="B40" s="189" t="s">
        <v>522</v>
      </c>
      <c r="C40" s="189"/>
      <c r="D40" s="189"/>
      <c r="E40" s="189"/>
      <c r="F40" s="189"/>
      <c r="G40" s="189"/>
      <c r="H40" s="189"/>
      <c r="I40" s="189"/>
      <c r="J40" s="189"/>
      <c r="K40" s="189"/>
      <c r="L40" s="189"/>
      <c r="M40" s="189"/>
      <c r="N40" s="189"/>
      <c r="O40" s="189"/>
    </row>
    <row r="41" spans="2:15" ht="15">
      <c r="B41" s="189" t="s">
        <v>523</v>
      </c>
      <c r="C41" s="189"/>
      <c r="D41" s="213" t="s">
        <v>524</v>
      </c>
      <c r="E41" s="189">
        <v>2010</v>
      </c>
      <c r="F41" s="189">
        <v>2011</v>
      </c>
      <c r="G41" s="189">
        <f>1+F41</f>
        <v>2012</v>
      </c>
      <c r="H41" s="189">
        <f aca="true" t="shared" si="0" ref="H41:N41">1+G41</f>
        <v>2013</v>
      </c>
      <c r="I41" s="189">
        <f t="shared" si="0"/>
        <v>2014</v>
      </c>
      <c r="J41" s="189">
        <f t="shared" si="0"/>
        <v>2015</v>
      </c>
      <c r="K41" s="189">
        <f t="shared" si="0"/>
        <v>2016</v>
      </c>
      <c r="L41" s="189">
        <f t="shared" si="0"/>
        <v>2017</v>
      </c>
      <c r="M41" s="189">
        <f t="shared" si="0"/>
        <v>2018</v>
      </c>
      <c r="N41" s="189">
        <f t="shared" si="0"/>
        <v>2019</v>
      </c>
      <c r="O41" s="189">
        <v>2020</v>
      </c>
    </row>
    <row r="42" spans="2:15" ht="15">
      <c r="B42" s="189" t="s">
        <v>177</v>
      </c>
      <c r="C42" s="189" t="s">
        <v>525</v>
      </c>
      <c r="D42" s="213">
        <v>1500</v>
      </c>
      <c r="E42" s="189">
        <v>42.2</v>
      </c>
      <c r="F42" s="189"/>
      <c r="G42" s="189"/>
      <c r="H42" s="189"/>
      <c r="I42" s="189"/>
      <c r="J42" s="189"/>
      <c r="K42" s="189"/>
      <c r="L42" s="189"/>
      <c r="M42" s="189"/>
      <c r="N42" s="189"/>
      <c r="O42" s="189">
        <v>3</v>
      </c>
    </row>
    <row r="43" spans="2:15" ht="15">
      <c r="B43" s="189"/>
      <c r="C43" s="189" t="s">
        <v>526</v>
      </c>
      <c r="D43" s="213">
        <v>3260</v>
      </c>
      <c r="E43" s="189">
        <v>39.7</v>
      </c>
      <c r="F43" s="189"/>
      <c r="G43" s="189"/>
      <c r="H43" s="189"/>
      <c r="I43" s="189"/>
      <c r="J43" s="189"/>
      <c r="K43" s="189"/>
      <c r="L43" s="189"/>
      <c r="M43" s="189"/>
      <c r="N43" s="189"/>
      <c r="O43" s="189">
        <v>65.2</v>
      </c>
    </row>
    <row r="44" spans="2:15" ht="15">
      <c r="B44" s="189"/>
      <c r="C44" s="189" t="s">
        <v>527</v>
      </c>
      <c r="D44" s="213">
        <v>3300</v>
      </c>
      <c r="E44" s="189">
        <v>18.1</v>
      </c>
      <c r="F44" s="189"/>
      <c r="G44" s="189"/>
      <c r="H44" s="189"/>
      <c r="I44" s="189"/>
      <c r="J44" s="189"/>
      <c r="K44" s="189"/>
      <c r="L44" s="189"/>
      <c r="M44" s="189"/>
      <c r="N44" s="189"/>
      <c r="O44" s="189">
        <v>31.8</v>
      </c>
    </row>
    <row r="45" spans="2:15" ht="15">
      <c r="B45" s="189"/>
      <c r="C45" s="189" t="s">
        <v>528</v>
      </c>
      <c r="D45" s="213"/>
      <c r="E45" s="189">
        <f>+$D$42*E42/100+$D$43*E43/100+$D$44*E44/100</f>
        <v>2524.5200000000004</v>
      </c>
      <c r="F45" s="189">
        <f>+($O$45-$E$45)/10+E45</f>
        <v>2594.0600000000004</v>
      </c>
      <c r="G45" s="189">
        <f aca="true" t="shared" si="1" ref="G45:N45">+($O$45-$E$45)/10+F45</f>
        <v>2663.6000000000004</v>
      </c>
      <c r="H45" s="189">
        <f t="shared" si="1"/>
        <v>2733.1400000000003</v>
      </c>
      <c r="I45" s="189">
        <f t="shared" si="1"/>
        <v>2802.6800000000003</v>
      </c>
      <c r="J45" s="189">
        <f t="shared" si="1"/>
        <v>2872.2200000000003</v>
      </c>
      <c r="K45" s="189">
        <f t="shared" si="1"/>
        <v>2941.76</v>
      </c>
      <c r="L45" s="189">
        <f t="shared" si="1"/>
        <v>3011.3</v>
      </c>
      <c r="M45" s="189">
        <f t="shared" si="1"/>
        <v>3080.84</v>
      </c>
      <c r="N45" s="189">
        <f t="shared" si="1"/>
        <v>3150.38</v>
      </c>
      <c r="O45" s="189">
        <f>+$D$42*O42/100+$D$43*O43/100+$D$44*O44/100</f>
        <v>3219.92</v>
      </c>
    </row>
    <row r="46" spans="2:15" ht="15">
      <c r="B46" s="189" t="s">
        <v>510</v>
      </c>
      <c r="C46" s="189"/>
      <c r="D46" s="213"/>
      <c r="E46" s="189"/>
      <c r="F46" s="189"/>
      <c r="G46" s="189"/>
      <c r="H46" s="189"/>
      <c r="I46" s="189"/>
      <c r="J46" s="189"/>
      <c r="K46" s="189"/>
      <c r="L46" s="189"/>
      <c r="M46" s="189"/>
      <c r="N46" s="189"/>
      <c r="O46" s="189"/>
    </row>
    <row r="47" spans="2:15" ht="15">
      <c r="B47" s="189"/>
      <c r="C47" s="189" t="s">
        <v>529</v>
      </c>
      <c r="D47" s="213">
        <v>8100</v>
      </c>
      <c r="E47" s="189">
        <v>2</v>
      </c>
      <c r="F47" s="189"/>
      <c r="G47" s="189"/>
      <c r="H47" s="189"/>
      <c r="I47" s="189"/>
      <c r="J47" s="189"/>
      <c r="K47" s="189"/>
      <c r="L47" s="189"/>
      <c r="M47" s="189"/>
      <c r="N47" s="189"/>
      <c r="O47" s="189">
        <v>0</v>
      </c>
    </row>
    <row r="48" spans="2:15" ht="15">
      <c r="B48" s="189"/>
      <c r="C48" s="189" t="s">
        <v>525</v>
      </c>
      <c r="D48" s="213">
        <v>1500</v>
      </c>
      <c r="E48" s="189">
        <v>56.6</v>
      </c>
      <c r="F48" s="189"/>
      <c r="G48" s="189"/>
      <c r="H48" s="189"/>
      <c r="I48" s="189"/>
      <c r="J48" s="189"/>
      <c r="K48" s="189"/>
      <c r="L48" s="189"/>
      <c r="M48" s="189"/>
      <c r="N48" s="189"/>
      <c r="O48" s="189">
        <v>28.1</v>
      </c>
    </row>
    <row r="49" spans="2:15" ht="15">
      <c r="B49" s="189"/>
      <c r="C49" s="189" t="s">
        <v>526</v>
      </c>
      <c r="D49" s="213">
        <v>3260</v>
      </c>
      <c r="E49" s="189">
        <v>26.2</v>
      </c>
      <c r="F49" s="189"/>
      <c r="G49" s="189"/>
      <c r="H49" s="189"/>
      <c r="I49" s="189"/>
      <c r="J49" s="189"/>
      <c r="K49" s="189"/>
      <c r="L49" s="189"/>
      <c r="M49" s="189"/>
      <c r="N49" s="189"/>
      <c r="O49" s="189">
        <v>54.2</v>
      </c>
    </row>
    <row r="50" spans="2:15" ht="15">
      <c r="B50" s="189"/>
      <c r="C50" s="189" t="s">
        <v>530</v>
      </c>
      <c r="D50" s="213">
        <v>4500</v>
      </c>
      <c r="E50" s="189">
        <v>6.6</v>
      </c>
      <c r="F50" s="189"/>
      <c r="G50" s="189"/>
      <c r="H50" s="189"/>
      <c r="I50" s="189"/>
      <c r="J50" s="189"/>
      <c r="K50" s="189"/>
      <c r="L50" s="189"/>
      <c r="M50" s="189"/>
      <c r="N50" s="189"/>
      <c r="O50" s="189">
        <v>0</v>
      </c>
    </row>
    <row r="51" spans="2:15" ht="15">
      <c r="B51" s="189"/>
      <c r="C51" s="189" t="s">
        <v>527</v>
      </c>
      <c r="D51" s="213">
        <v>3300</v>
      </c>
      <c r="E51" s="189">
        <v>8.6</v>
      </c>
      <c r="F51" s="189"/>
      <c r="G51" s="189"/>
      <c r="H51" s="189"/>
      <c r="I51" s="189"/>
      <c r="J51" s="189"/>
      <c r="K51" s="189"/>
      <c r="L51" s="189"/>
      <c r="M51" s="189"/>
      <c r="N51" s="189"/>
      <c r="O51" s="189">
        <v>17.7</v>
      </c>
    </row>
    <row r="52" spans="2:15" ht="15">
      <c r="B52" s="189"/>
      <c r="C52" s="189" t="s">
        <v>528</v>
      </c>
      <c r="D52" s="213"/>
      <c r="E52" s="189">
        <f>+$D$47*E47/100+D48*E48/100+$D$49*E49/100+$D$50*E50/100+$D$51*E51/100</f>
        <v>2445.92</v>
      </c>
      <c r="F52" s="189">
        <f>+($O$52-$E$52)/10+E52</f>
        <v>2438.02046</v>
      </c>
      <c r="G52" s="189">
        <f aca="true" t="shared" si="2" ref="G52:N52">+($O$52-$E$52)/10+F52</f>
        <v>2430.1209200000003</v>
      </c>
      <c r="H52" s="189">
        <f t="shared" si="2"/>
        <v>2422.2213800000004</v>
      </c>
      <c r="I52" s="189">
        <f t="shared" si="2"/>
        <v>2414.3218400000005</v>
      </c>
      <c r="J52" s="189">
        <f t="shared" si="2"/>
        <v>2406.4223000000006</v>
      </c>
      <c r="K52" s="189">
        <f t="shared" si="2"/>
        <v>2398.5227600000007</v>
      </c>
      <c r="L52" s="189">
        <f t="shared" si="2"/>
        <v>2390.623220000001</v>
      </c>
      <c r="M52" s="189">
        <f t="shared" si="2"/>
        <v>2382.723680000001</v>
      </c>
      <c r="N52" s="189">
        <f t="shared" si="2"/>
        <v>2374.824140000001</v>
      </c>
      <c r="O52" s="189">
        <f>+$D$47*O47/100+E48*O48/100+$D$49*O49/100+$D$50*O50/100+$D$51*O51/100</f>
        <v>2366.9246000000003</v>
      </c>
    </row>
    <row r="53" spans="2:15" ht="15">
      <c r="B53" s="189" t="s">
        <v>511</v>
      </c>
      <c r="C53" s="189"/>
      <c r="D53" s="213"/>
      <c r="E53" s="189"/>
      <c r="F53" s="189"/>
      <c r="G53" s="189"/>
      <c r="H53" s="189"/>
      <c r="I53" s="189"/>
      <c r="J53" s="189"/>
      <c r="K53" s="189"/>
      <c r="L53" s="189"/>
      <c r="M53" s="189"/>
      <c r="N53" s="189"/>
      <c r="O53" s="189"/>
    </row>
    <row r="54" spans="2:15" ht="15">
      <c r="B54" s="189"/>
      <c r="C54" s="189" t="s">
        <v>531</v>
      </c>
      <c r="D54" s="213">
        <v>3800</v>
      </c>
      <c r="E54" s="189">
        <v>1</v>
      </c>
      <c r="F54" s="189"/>
      <c r="G54" s="189"/>
      <c r="H54" s="189"/>
      <c r="I54" s="189"/>
      <c r="J54" s="189"/>
      <c r="K54" s="189"/>
      <c r="L54" s="189"/>
      <c r="M54" s="189"/>
      <c r="N54" s="189"/>
      <c r="O54" s="189">
        <v>0</v>
      </c>
    </row>
    <row r="55" spans="2:15" ht="15">
      <c r="B55" s="189"/>
      <c r="C55" s="189" t="s">
        <v>529</v>
      </c>
      <c r="D55" s="213">
        <v>8100</v>
      </c>
      <c r="E55" s="189">
        <v>15.6</v>
      </c>
      <c r="F55" s="189"/>
      <c r="G55" s="189"/>
      <c r="H55" s="189"/>
      <c r="I55" s="189"/>
      <c r="J55" s="189"/>
      <c r="K55" s="189"/>
      <c r="L55" s="189"/>
      <c r="M55" s="189"/>
      <c r="N55" s="189"/>
      <c r="O55" s="189">
        <v>0</v>
      </c>
    </row>
    <row r="56" spans="2:15" ht="15">
      <c r="B56" s="189"/>
      <c r="C56" s="189" t="s">
        <v>525</v>
      </c>
      <c r="D56" s="213">
        <v>1500</v>
      </c>
      <c r="E56" s="189">
        <v>22</v>
      </c>
      <c r="F56" s="189"/>
      <c r="G56" s="189"/>
      <c r="H56" s="189"/>
      <c r="I56" s="189"/>
      <c r="J56" s="189"/>
      <c r="K56" s="189"/>
      <c r="L56" s="189"/>
      <c r="M56" s="189"/>
      <c r="N56" s="189"/>
      <c r="O56" s="189">
        <v>11</v>
      </c>
    </row>
    <row r="57" spans="2:15" ht="15">
      <c r="B57" s="189"/>
      <c r="C57" s="189" t="s">
        <v>532</v>
      </c>
      <c r="D57" s="213">
        <v>90</v>
      </c>
      <c r="E57" s="189">
        <v>23.3</v>
      </c>
      <c r="F57" s="189"/>
      <c r="G57" s="189"/>
      <c r="H57" s="189"/>
      <c r="I57" s="189"/>
      <c r="J57" s="189"/>
      <c r="K57" s="189"/>
      <c r="L57" s="189"/>
      <c r="M57" s="189"/>
      <c r="N57" s="189"/>
      <c r="O57" s="189">
        <v>29.4</v>
      </c>
    </row>
    <row r="58" spans="2:15" ht="15">
      <c r="B58" s="189"/>
      <c r="C58" s="189" t="s">
        <v>533</v>
      </c>
      <c r="D58" s="213">
        <v>1300</v>
      </c>
      <c r="E58" s="189">
        <v>33.3</v>
      </c>
      <c r="F58" s="189"/>
      <c r="G58" s="189"/>
      <c r="H58" s="189"/>
      <c r="I58" s="189"/>
      <c r="J58" s="189"/>
      <c r="K58" s="189"/>
      <c r="L58" s="189"/>
      <c r="M58" s="189"/>
      <c r="N58" s="189"/>
      <c r="O58" s="189">
        <v>44.5</v>
      </c>
    </row>
    <row r="59" spans="2:15" ht="15">
      <c r="B59" s="189"/>
      <c r="C59" s="189" t="s">
        <v>534</v>
      </c>
      <c r="D59" s="213">
        <v>970</v>
      </c>
      <c r="E59" s="189">
        <v>0.4</v>
      </c>
      <c r="F59" s="189"/>
      <c r="G59" s="189"/>
      <c r="H59" s="189"/>
      <c r="I59" s="189"/>
      <c r="J59" s="189"/>
      <c r="K59" s="189"/>
      <c r="L59" s="189"/>
      <c r="M59" s="189"/>
      <c r="N59" s="189"/>
      <c r="O59" s="189">
        <v>0.3</v>
      </c>
    </row>
    <row r="60" spans="2:15" ht="15">
      <c r="B60" s="189"/>
      <c r="C60" s="189" t="s">
        <v>535</v>
      </c>
      <c r="D60" s="213">
        <v>3260</v>
      </c>
      <c r="E60" s="189">
        <v>2.7</v>
      </c>
      <c r="F60" s="189"/>
      <c r="G60" s="189"/>
      <c r="H60" s="189"/>
      <c r="I60" s="189"/>
      <c r="J60" s="189"/>
      <c r="K60" s="189"/>
      <c r="L60" s="189"/>
      <c r="M60" s="189"/>
      <c r="N60" s="189"/>
      <c r="O60" s="189">
        <v>8.8</v>
      </c>
    </row>
    <row r="61" spans="2:15" ht="15">
      <c r="B61" s="189"/>
      <c r="C61" s="189" t="s">
        <v>536</v>
      </c>
      <c r="D61" s="213">
        <v>1725</v>
      </c>
      <c r="E61" s="189">
        <v>0.9</v>
      </c>
      <c r="F61" s="189"/>
      <c r="G61" s="189"/>
      <c r="H61" s="189"/>
      <c r="I61" s="189"/>
      <c r="J61" s="189"/>
      <c r="K61" s="189"/>
      <c r="L61" s="189"/>
      <c r="M61" s="189"/>
      <c r="N61" s="189"/>
      <c r="O61" s="189">
        <v>3.4</v>
      </c>
    </row>
    <row r="62" spans="2:15" ht="15">
      <c r="B62" s="189"/>
      <c r="C62" s="189" t="s">
        <v>527</v>
      </c>
      <c r="D62" s="213">
        <v>3300</v>
      </c>
      <c r="E62" s="189">
        <v>0.9</v>
      </c>
      <c r="F62" s="189"/>
      <c r="G62" s="189"/>
      <c r="H62" s="189"/>
      <c r="I62" s="189"/>
      <c r="J62" s="189"/>
      <c r="K62" s="189"/>
      <c r="L62" s="189"/>
      <c r="M62" s="189"/>
      <c r="N62" s="189"/>
      <c r="O62" s="189">
        <v>2.6</v>
      </c>
    </row>
    <row r="63" spans="2:15" ht="15">
      <c r="B63" s="189"/>
      <c r="C63" s="189" t="s">
        <v>528</v>
      </c>
      <c r="D63" s="213"/>
      <c r="E63" s="189">
        <f>+$D$54*E54/100+$D$55*E55/100+$D$56*E56/100+$D$57*E57/100+$D$58*E58/100+$D$59*E59/100+$D$60*E60/100+$D$61*E61/100+$D$62*E62/100</f>
        <v>2222.595</v>
      </c>
      <c r="F63" s="189">
        <f>+($O$63-$E$63)/10+E63</f>
        <v>2120.7554999999998</v>
      </c>
      <c r="G63" s="189">
        <f aca="true" t="shared" si="3" ref="G63:N63">+($O$63-$E$63)/10+F63</f>
        <v>2018.9159999999997</v>
      </c>
      <c r="H63" s="189">
        <f t="shared" si="3"/>
        <v>1917.0764999999997</v>
      </c>
      <c r="I63" s="189">
        <f t="shared" si="3"/>
        <v>1815.2369999999996</v>
      </c>
      <c r="J63" s="189">
        <f t="shared" si="3"/>
        <v>1713.3974999999996</v>
      </c>
      <c r="K63" s="189">
        <f t="shared" si="3"/>
        <v>1611.5579999999995</v>
      </c>
      <c r="L63" s="189">
        <f t="shared" si="3"/>
        <v>1509.7184999999995</v>
      </c>
      <c r="M63" s="189">
        <f t="shared" si="3"/>
        <v>1407.8789999999995</v>
      </c>
      <c r="N63" s="189">
        <f t="shared" si="3"/>
        <v>1306.0394999999994</v>
      </c>
      <c r="O63" s="189">
        <f>+$D$54*O54/100+$D$55*O55/100+$D$56*O56/100+$D$57*O57/100+$D$58*O58/100+$D$59*O59/100+$D$60*O60/100+$D$61*O61/100+$D$62*O62/100</f>
        <v>1204.2</v>
      </c>
    </row>
    <row r="64" spans="2:15" ht="15">
      <c r="B64" s="189" t="s">
        <v>537</v>
      </c>
      <c r="C64" s="189"/>
      <c r="D64" s="213"/>
      <c r="E64" s="189"/>
      <c r="F64" s="189"/>
      <c r="G64" s="189"/>
      <c r="H64" s="189"/>
      <c r="I64" s="189"/>
      <c r="J64" s="189"/>
      <c r="K64" s="189"/>
      <c r="L64" s="189"/>
      <c r="M64" s="189"/>
      <c r="N64" s="189"/>
      <c r="O64" s="189"/>
    </row>
    <row r="65" spans="2:15" ht="15">
      <c r="B65" s="189"/>
      <c r="C65" s="189" t="s">
        <v>529</v>
      </c>
      <c r="D65" s="213">
        <v>8100</v>
      </c>
      <c r="E65" s="189">
        <v>2.2</v>
      </c>
      <c r="F65" s="189"/>
      <c r="G65" s="189"/>
      <c r="H65" s="189"/>
      <c r="I65" s="189"/>
      <c r="J65" s="189"/>
      <c r="K65" s="189"/>
      <c r="L65" s="189"/>
      <c r="M65" s="189"/>
      <c r="N65" s="189"/>
      <c r="O65" s="189">
        <v>0</v>
      </c>
    </row>
    <row r="66" spans="2:15" ht="15">
      <c r="B66" s="189"/>
      <c r="C66" s="189" t="s">
        <v>525</v>
      </c>
      <c r="D66" s="213">
        <v>1500</v>
      </c>
      <c r="E66" s="189">
        <v>30.4</v>
      </c>
      <c r="F66" s="189"/>
      <c r="G66" s="189"/>
      <c r="H66" s="189"/>
      <c r="I66" s="189"/>
      <c r="J66" s="189"/>
      <c r="K66" s="189"/>
      <c r="L66" s="189"/>
      <c r="M66" s="189"/>
      <c r="N66" s="189"/>
      <c r="O66" s="189">
        <v>7.3</v>
      </c>
    </row>
    <row r="67" spans="2:15" ht="15">
      <c r="B67" s="189"/>
      <c r="C67" s="189" t="s">
        <v>538</v>
      </c>
      <c r="D67" s="213">
        <v>1300</v>
      </c>
      <c r="E67" s="189">
        <v>40.4</v>
      </c>
      <c r="F67" s="189"/>
      <c r="G67" s="189"/>
      <c r="H67" s="189"/>
      <c r="I67" s="189"/>
      <c r="J67" s="189"/>
      <c r="K67" s="189"/>
      <c r="L67" s="189"/>
      <c r="M67" s="189"/>
      <c r="N67" s="189"/>
      <c r="O67" s="189">
        <v>44.5</v>
      </c>
    </row>
    <row r="68" spans="2:15" ht="15">
      <c r="B68" s="189"/>
      <c r="C68" s="189" t="s">
        <v>535</v>
      </c>
      <c r="D68" s="213">
        <v>3260</v>
      </c>
      <c r="E68" s="189">
        <v>19</v>
      </c>
      <c r="F68" s="189"/>
      <c r="G68" s="189"/>
      <c r="H68" s="189"/>
      <c r="I68" s="189"/>
      <c r="J68" s="189"/>
      <c r="K68" s="189"/>
      <c r="L68" s="189"/>
      <c r="M68" s="189"/>
      <c r="N68" s="189"/>
      <c r="O68" s="189">
        <v>33.3</v>
      </c>
    </row>
    <row r="69" spans="2:15" ht="15">
      <c r="B69" s="189"/>
      <c r="C69" s="189" t="s">
        <v>527</v>
      </c>
      <c r="D69" s="213">
        <v>3300</v>
      </c>
      <c r="E69" s="189">
        <v>8</v>
      </c>
      <c r="F69" s="189"/>
      <c r="G69" s="189"/>
      <c r="H69" s="189"/>
      <c r="I69" s="189"/>
      <c r="J69" s="189"/>
      <c r="K69" s="189"/>
      <c r="L69" s="189"/>
      <c r="M69" s="189"/>
      <c r="N69" s="189"/>
      <c r="O69" s="189">
        <v>14.9</v>
      </c>
    </row>
    <row r="70" spans="2:15" ht="15">
      <c r="B70" s="189"/>
      <c r="C70" s="189" t="s">
        <v>528</v>
      </c>
      <c r="D70" s="213"/>
      <c r="E70" s="189">
        <f>+$D$65*E65/100+$D$66*E66/100+$D$67*E67/100+$D$68*E68/100+$D$69*E69/100</f>
        <v>2042.8000000000002</v>
      </c>
      <c r="F70" s="189">
        <f>+($O$70-$E$70)/10+E70</f>
        <v>2065.0480000000002</v>
      </c>
      <c r="G70" s="189">
        <f aca="true" t="shared" si="4" ref="G70:N70">+($O$70-$E$70)/10+F70</f>
        <v>2087.2960000000003</v>
      </c>
      <c r="H70" s="189">
        <f t="shared" si="4"/>
        <v>2109.5440000000003</v>
      </c>
      <c r="I70" s="189">
        <f t="shared" si="4"/>
        <v>2131.7920000000004</v>
      </c>
      <c r="J70" s="189">
        <f t="shared" si="4"/>
        <v>2154.0400000000004</v>
      </c>
      <c r="K70" s="189">
        <f t="shared" si="4"/>
        <v>2176.2880000000005</v>
      </c>
      <c r="L70" s="189">
        <f t="shared" si="4"/>
        <v>2198.5360000000005</v>
      </c>
      <c r="M70" s="189">
        <f t="shared" si="4"/>
        <v>2220.7840000000006</v>
      </c>
      <c r="N70" s="189">
        <f t="shared" si="4"/>
        <v>2243.0320000000006</v>
      </c>
      <c r="O70" s="189">
        <f>+$D$65*O65/100+$D$66*O66/100+$D$67*O67/100+$D$68*O68/100+$D$69*O69/100</f>
        <v>2265.2799999999997</v>
      </c>
    </row>
    <row r="71" spans="2:15" ht="15">
      <c r="B71" s="189" t="s">
        <v>539</v>
      </c>
      <c r="C71" s="189"/>
      <c r="D71" s="213"/>
      <c r="E71" s="189"/>
      <c r="F71" s="189"/>
      <c r="G71" s="189"/>
      <c r="H71" s="189"/>
      <c r="I71" s="189"/>
      <c r="J71" s="189"/>
      <c r="K71" s="189"/>
      <c r="L71" s="189"/>
      <c r="M71" s="189"/>
      <c r="N71" s="189"/>
      <c r="O71" s="189"/>
    </row>
    <row r="72" spans="2:15" ht="15">
      <c r="B72" s="189"/>
      <c r="C72" s="189" t="s">
        <v>531</v>
      </c>
      <c r="D72" s="213">
        <v>3800</v>
      </c>
      <c r="E72" s="189">
        <v>2.6</v>
      </c>
      <c r="F72" s="189"/>
      <c r="G72" s="189"/>
      <c r="H72" s="189"/>
      <c r="I72" s="189"/>
      <c r="J72" s="189"/>
      <c r="K72" s="189"/>
      <c r="L72" s="189"/>
      <c r="M72" s="189"/>
      <c r="N72" s="189"/>
      <c r="O72" s="189">
        <v>0</v>
      </c>
    </row>
    <row r="73" spans="2:15" ht="15">
      <c r="B73" s="189"/>
      <c r="C73" s="189" t="s">
        <v>529</v>
      </c>
      <c r="D73" s="213">
        <v>8100</v>
      </c>
      <c r="E73" s="189">
        <v>0.9</v>
      </c>
      <c r="F73" s="189"/>
      <c r="G73" s="189"/>
      <c r="H73" s="189"/>
      <c r="I73" s="189"/>
      <c r="J73" s="189"/>
      <c r="K73" s="189"/>
      <c r="L73" s="189"/>
      <c r="M73" s="189"/>
      <c r="N73" s="189"/>
      <c r="O73" s="189">
        <v>0</v>
      </c>
    </row>
    <row r="74" spans="2:15" ht="15">
      <c r="B74" s="189"/>
      <c r="C74" s="189" t="s">
        <v>525</v>
      </c>
      <c r="D74" s="213">
        <v>1500</v>
      </c>
      <c r="E74" s="189">
        <v>73.8</v>
      </c>
      <c r="F74" s="189"/>
      <c r="G74" s="189"/>
      <c r="H74" s="189"/>
      <c r="I74" s="189"/>
      <c r="J74" s="189"/>
      <c r="K74" s="189"/>
      <c r="L74" s="189"/>
      <c r="M74" s="189"/>
      <c r="N74" s="189"/>
      <c r="O74" s="189">
        <v>32.3</v>
      </c>
    </row>
    <row r="75" spans="2:15" ht="15">
      <c r="B75" s="189"/>
      <c r="C75" s="189" t="s">
        <v>532</v>
      </c>
      <c r="D75" s="213">
        <v>90</v>
      </c>
      <c r="E75" s="189">
        <v>6.8</v>
      </c>
      <c r="F75" s="189"/>
      <c r="G75" s="189"/>
      <c r="H75" s="189"/>
      <c r="I75" s="189"/>
      <c r="J75" s="189"/>
      <c r="K75" s="189"/>
      <c r="L75" s="189"/>
      <c r="M75" s="189"/>
      <c r="N75" s="189"/>
      <c r="O75" s="189">
        <v>8.2</v>
      </c>
    </row>
    <row r="76" spans="2:15" ht="15">
      <c r="B76" s="189"/>
      <c r="C76" s="189" t="s">
        <v>540</v>
      </c>
      <c r="D76" s="213">
        <v>9300</v>
      </c>
      <c r="E76" s="189">
        <v>0.1</v>
      </c>
      <c r="F76" s="189"/>
      <c r="G76" s="189"/>
      <c r="H76" s="189"/>
      <c r="I76" s="189"/>
      <c r="J76" s="189"/>
      <c r="K76" s="189"/>
      <c r="L76" s="189"/>
      <c r="M76" s="189"/>
      <c r="N76" s="189"/>
      <c r="O76" s="189">
        <v>0</v>
      </c>
    </row>
    <row r="77" spans="2:15" ht="15">
      <c r="B77" s="189"/>
      <c r="C77" s="189" t="s">
        <v>533</v>
      </c>
      <c r="D77" s="213">
        <v>1300</v>
      </c>
      <c r="E77" s="189">
        <v>14.1</v>
      </c>
      <c r="F77" s="189"/>
      <c r="G77" s="189"/>
      <c r="H77" s="189"/>
      <c r="I77" s="189"/>
      <c r="J77" s="189"/>
      <c r="K77" s="189"/>
      <c r="L77" s="189"/>
      <c r="M77" s="189"/>
      <c r="N77" s="189"/>
      <c r="O77" s="189">
        <v>32.3</v>
      </c>
    </row>
    <row r="78" spans="2:15" ht="15">
      <c r="B78" s="189"/>
      <c r="C78" s="189" t="s">
        <v>541</v>
      </c>
      <c r="D78" s="213">
        <v>6300</v>
      </c>
      <c r="E78" s="189">
        <v>0.4</v>
      </c>
      <c r="F78" s="189"/>
      <c r="G78" s="189"/>
      <c r="H78" s="189"/>
      <c r="I78" s="189"/>
      <c r="J78" s="189"/>
      <c r="K78" s="189"/>
      <c r="L78" s="189"/>
      <c r="M78" s="189"/>
      <c r="N78" s="189"/>
      <c r="O78" s="189">
        <v>0.1</v>
      </c>
    </row>
    <row r="79" spans="2:15" ht="15">
      <c r="B79" s="189"/>
      <c r="C79" s="189" t="s">
        <v>542</v>
      </c>
      <c r="D79" s="213">
        <v>1526</v>
      </c>
      <c r="E79" s="189">
        <v>1</v>
      </c>
      <c r="F79" s="189"/>
      <c r="G79" s="189"/>
      <c r="H79" s="189"/>
      <c r="I79" s="189"/>
      <c r="J79" s="189"/>
      <c r="K79" s="189"/>
      <c r="L79" s="189"/>
      <c r="M79" s="189"/>
      <c r="N79" s="189"/>
      <c r="O79" s="189">
        <v>18.2</v>
      </c>
    </row>
    <row r="80" spans="2:15" ht="15">
      <c r="B80" s="189"/>
      <c r="C80" s="189" t="s">
        <v>543</v>
      </c>
      <c r="D80" s="213">
        <v>1725</v>
      </c>
      <c r="E80" s="189">
        <v>0.1</v>
      </c>
      <c r="F80" s="189"/>
      <c r="G80" s="189"/>
      <c r="H80" s="189"/>
      <c r="I80" s="189"/>
      <c r="J80" s="189"/>
      <c r="K80" s="189"/>
      <c r="L80" s="189"/>
      <c r="M80" s="189"/>
      <c r="N80" s="189"/>
      <c r="O80" s="189">
        <v>8.9</v>
      </c>
    </row>
    <row r="81" spans="2:15" ht="15">
      <c r="B81" s="189"/>
      <c r="C81" s="189" t="s">
        <v>544</v>
      </c>
      <c r="D81" s="213">
        <v>6010</v>
      </c>
      <c r="E81" s="189">
        <v>0.2</v>
      </c>
      <c r="F81" s="189"/>
      <c r="G81" s="189"/>
      <c r="H81" s="189"/>
      <c r="I81" s="189"/>
      <c r="J81" s="189"/>
      <c r="K81" s="189"/>
      <c r="L81" s="189"/>
      <c r="M81" s="189"/>
      <c r="N81" s="189"/>
      <c r="O81" s="189">
        <v>0</v>
      </c>
    </row>
    <row r="82" spans="2:15" ht="15">
      <c r="B82" s="189"/>
      <c r="C82" s="189" t="s">
        <v>528</v>
      </c>
      <c r="D82" s="213"/>
      <c r="E82" s="189">
        <f>+$D$72*E72/100+$D$73*E73/100+$D$74*E74/100+$D$75*E75/100+$D$76*E76/100+$D$77*E77/100+$D$78*E78/100+$D$79*E79/100+$D$80*E80/100+$D$81*E81/100</f>
        <v>1531.6249999999998</v>
      </c>
      <c r="F82" s="189">
        <f>+($O$82-$E$82)/10+E82</f>
        <v>1513.3961999999997</v>
      </c>
      <c r="G82" s="189">
        <f aca="true" t="shared" si="5" ref="G82:N82">+($O$82-$E$82)/10+F82</f>
        <v>1495.1673999999998</v>
      </c>
      <c r="H82" s="189">
        <f t="shared" si="5"/>
        <v>1476.9386</v>
      </c>
      <c r="I82" s="189">
        <f t="shared" si="5"/>
        <v>1458.7098</v>
      </c>
      <c r="J82" s="189">
        <f t="shared" si="5"/>
        <v>1440.4810000000002</v>
      </c>
      <c r="K82" s="189">
        <f t="shared" si="5"/>
        <v>1422.2522000000004</v>
      </c>
      <c r="L82" s="189">
        <f t="shared" si="5"/>
        <v>1404.0234000000005</v>
      </c>
      <c r="M82" s="189">
        <f t="shared" si="5"/>
        <v>1385.7946000000006</v>
      </c>
      <c r="N82" s="189">
        <f t="shared" si="5"/>
        <v>1367.5658000000008</v>
      </c>
      <c r="O82" s="189">
        <f>+$D$72*O72/100+$D$73*O73/100+$D$74*O74/100+$D$75*O75/100+$D$76*O76/100+$D$77*O77/100+$D$78*O78/100+$D$79*O79/100+$D$80*O80/100+$D$81*O81/100</f>
        <v>1349.337</v>
      </c>
    </row>
    <row r="83" spans="2:15" ht="15">
      <c r="B83" s="189" t="s">
        <v>545</v>
      </c>
      <c r="C83" s="189"/>
      <c r="D83" s="213"/>
      <c r="E83" s="189"/>
      <c r="F83" s="189"/>
      <c r="G83" s="189"/>
      <c r="H83" s="189"/>
      <c r="I83" s="189"/>
      <c r="J83" s="189"/>
      <c r="K83" s="189"/>
      <c r="L83" s="189"/>
      <c r="M83" s="189"/>
      <c r="N83" s="189"/>
      <c r="O83" s="189"/>
    </row>
    <row r="84" spans="2:15" ht="15">
      <c r="B84" s="189"/>
      <c r="C84" s="189" t="s">
        <v>525</v>
      </c>
      <c r="D84" s="213">
        <v>1500</v>
      </c>
      <c r="E84" s="189">
        <v>78.4</v>
      </c>
      <c r="F84" s="189"/>
      <c r="G84" s="189"/>
      <c r="H84" s="189"/>
      <c r="I84" s="189"/>
      <c r="J84" s="189"/>
      <c r="K84" s="189"/>
      <c r="L84" s="189"/>
      <c r="M84" s="189"/>
      <c r="N84" s="189"/>
      <c r="O84" s="189">
        <v>15</v>
      </c>
    </row>
    <row r="85" spans="2:15" ht="15">
      <c r="B85" s="189"/>
      <c r="C85" s="189" t="s">
        <v>538</v>
      </c>
      <c r="D85" s="213">
        <v>1300</v>
      </c>
      <c r="E85" s="189">
        <v>0.1</v>
      </c>
      <c r="F85" s="189"/>
      <c r="G85" s="189"/>
      <c r="H85" s="189"/>
      <c r="I85" s="189"/>
      <c r="J85" s="189"/>
      <c r="K85" s="189"/>
      <c r="L85" s="189"/>
      <c r="M85" s="189"/>
      <c r="N85" s="189"/>
      <c r="O85" s="189">
        <v>0.7</v>
      </c>
    </row>
    <row r="86" spans="2:15" ht="15">
      <c r="B86" s="189"/>
      <c r="C86" s="189" t="s">
        <v>542</v>
      </c>
      <c r="D86" s="213">
        <v>1526</v>
      </c>
      <c r="E86" s="189">
        <v>0.3</v>
      </c>
      <c r="F86" s="189"/>
      <c r="G86" s="189"/>
      <c r="H86" s="189"/>
      <c r="I86" s="189"/>
      <c r="J86" s="189"/>
      <c r="K86" s="189"/>
      <c r="L86" s="189"/>
      <c r="M86" s="189"/>
      <c r="N86" s="189"/>
      <c r="O86" s="189">
        <v>1.5</v>
      </c>
    </row>
    <row r="87" spans="2:15" ht="15">
      <c r="B87" s="189"/>
      <c r="C87" s="189" t="s">
        <v>543</v>
      </c>
      <c r="D87" s="213">
        <v>1725</v>
      </c>
      <c r="E87" s="189">
        <v>21.2</v>
      </c>
      <c r="F87" s="189"/>
      <c r="G87" s="189"/>
      <c r="H87" s="189"/>
      <c r="I87" s="189"/>
      <c r="J87" s="189"/>
      <c r="K87" s="189"/>
      <c r="L87" s="189"/>
      <c r="M87" s="189"/>
      <c r="N87" s="189"/>
      <c r="O87" s="189">
        <v>82.8</v>
      </c>
    </row>
    <row r="88" spans="2:15" ht="15">
      <c r="B88" s="189"/>
      <c r="C88" s="189" t="s">
        <v>528</v>
      </c>
      <c r="D88" s="189"/>
      <c r="E88" s="189">
        <f>+$D$84*E84/100+$D$85*E85/100+$D$86*E86/100+$D$87*E87/100</f>
        <v>1547.5780000000002</v>
      </c>
      <c r="F88" s="189">
        <f>+($O$88-$E$88)/10+E88</f>
        <v>1561.3492</v>
      </c>
      <c r="G88" s="189">
        <f aca="true" t="shared" si="6" ref="G88:N88">+($O$88-$E$88)/10+F88</f>
        <v>1575.1204</v>
      </c>
      <c r="H88" s="189">
        <f t="shared" si="6"/>
        <v>1588.8916</v>
      </c>
      <c r="I88" s="189">
        <f t="shared" si="6"/>
        <v>1602.6627999999998</v>
      </c>
      <c r="J88" s="189">
        <f t="shared" si="6"/>
        <v>1616.4339999999997</v>
      </c>
      <c r="K88" s="189">
        <f t="shared" si="6"/>
        <v>1630.2051999999996</v>
      </c>
      <c r="L88" s="189">
        <f t="shared" si="6"/>
        <v>1643.9763999999996</v>
      </c>
      <c r="M88" s="189">
        <f t="shared" si="6"/>
        <v>1657.7475999999995</v>
      </c>
      <c r="N88" s="189">
        <f t="shared" si="6"/>
        <v>1671.5187999999994</v>
      </c>
      <c r="O88" s="189">
        <f>+$D$84*O84/100+$D$85*O85/100+$D$86*O86/100+$D$87*O87/100</f>
        <v>1685.29</v>
      </c>
    </row>
  </sheetData>
  <sheetProtection password="A20C" sheet="1" objects="1" scenarios="1"/>
  <mergeCells count="9">
    <mergeCell ref="K6:M6"/>
    <mergeCell ref="I8:J8"/>
    <mergeCell ref="I9:J9"/>
    <mergeCell ref="I10:J10"/>
    <mergeCell ref="B3:E3"/>
    <mergeCell ref="C8:D8"/>
    <mergeCell ref="C9:D9"/>
    <mergeCell ref="C10:D10"/>
    <mergeCell ref="E6:G6"/>
  </mergeCells>
  <hyperlinks>
    <hyperlink ref="L12:N12" location="Mitigation!B3" display="Mitigation"/>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wksMitigationV">
    <tabColor theme="3" tint="-0.4999699890613556"/>
  </sheetPr>
  <dimension ref="A1:X62"/>
  <sheetViews>
    <sheetView showGridLines="0" showRowColHeaders="0" zoomScale="80" zoomScaleNormal="80" zoomScalePageLayoutView="0" workbookViewId="0" topLeftCell="A31">
      <selection activeCell="E16" sqref="E16"/>
    </sheetView>
  </sheetViews>
  <sheetFormatPr defaultColWidth="9.140625" defaultRowHeight="15"/>
  <cols>
    <col min="1" max="1" width="4.28125" style="0" customWidth="1"/>
    <col min="2" max="3" width="13.28125" style="0" customWidth="1"/>
    <col min="4" max="4" width="49.57421875" style="0" customWidth="1"/>
    <col min="5" max="5" width="26.140625" style="0" customWidth="1"/>
    <col min="6" max="6" width="16.8515625" style="0" customWidth="1"/>
    <col min="7" max="7" width="11.140625" style="0" customWidth="1"/>
    <col min="8" max="8" width="23.00390625" style="0" customWidth="1"/>
    <col min="9" max="9" width="21.57421875" style="0" customWidth="1"/>
    <col min="10" max="10" width="21.00390625" style="0" customWidth="1"/>
    <col min="11" max="11" width="7.57421875" style="0" customWidth="1"/>
    <col min="12" max="12" width="20.57421875" style="0" customWidth="1"/>
    <col min="13" max="13" width="8.421875" style="0" customWidth="1"/>
  </cols>
  <sheetData>
    <row r="1" ht="15">
      <c r="B1" s="26"/>
    </row>
    <row r="2" spans="2:5" ht="15">
      <c r="B2" s="26"/>
      <c r="C2" s="26"/>
      <c r="D2" s="26"/>
      <c r="E2" s="26"/>
    </row>
    <row r="3" spans="1:24" ht="26.25">
      <c r="A3" s="372"/>
      <c r="B3" s="636" t="s">
        <v>638</v>
      </c>
      <c r="C3" s="636"/>
      <c r="D3" s="636"/>
      <c r="E3" s="372"/>
      <c r="F3" s="372"/>
      <c r="G3" s="372"/>
      <c r="H3" s="372"/>
      <c r="I3" s="372"/>
      <c r="J3" s="372"/>
      <c r="K3" s="372"/>
      <c r="L3" s="372"/>
      <c r="M3" s="372"/>
      <c r="N3" s="372"/>
      <c r="O3" s="372"/>
      <c r="P3" s="372"/>
      <c r="Q3" s="372"/>
      <c r="R3" s="372"/>
      <c r="S3" s="372"/>
      <c r="T3" s="372"/>
      <c r="U3" s="372"/>
      <c r="V3" s="372"/>
      <c r="W3" s="372"/>
      <c r="X3" s="372"/>
    </row>
    <row r="4" spans="2:8" ht="15">
      <c r="B4" s="78"/>
      <c r="H4" s="221"/>
    </row>
    <row r="5" spans="2:9" ht="15">
      <c r="B5" s="78"/>
      <c r="H5" s="221" t="s">
        <v>679</v>
      </c>
      <c r="I5" t="str">
        <f>IF(+nrUseBaseline,"ON","OFF")</f>
        <v>ON</v>
      </c>
    </row>
    <row r="6" ht="38.25" thickBot="1">
      <c r="B6" s="351" t="s">
        <v>605</v>
      </c>
    </row>
    <row r="7" spans="2:10" ht="57.75" customHeight="1">
      <c r="B7" s="642" t="s">
        <v>589</v>
      </c>
      <c r="C7" s="358" t="s">
        <v>639</v>
      </c>
      <c r="D7" s="359" t="s">
        <v>182</v>
      </c>
      <c r="E7" s="353" t="s">
        <v>594</v>
      </c>
      <c r="H7" s="369"/>
      <c r="I7" s="370" t="s">
        <v>707</v>
      </c>
      <c r="J7" s="515" t="s">
        <v>708</v>
      </c>
    </row>
    <row r="8" spans="2:10" ht="21.75" customHeight="1">
      <c r="B8" s="643"/>
      <c r="C8" s="524" t="b">
        <v>0</v>
      </c>
      <c r="D8" s="341" t="s">
        <v>582</v>
      </c>
      <c r="E8" s="465">
        <v>5000</v>
      </c>
      <c r="H8" s="423" t="s">
        <v>6</v>
      </c>
      <c r="I8" s="511">
        <f>nrResultTransUnMit</f>
        <v>425.66793566847934</v>
      </c>
      <c r="J8" s="516">
        <f>nrResultTranMit</f>
        <v>361.1926877013165</v>
      </c>
    </row>
    <row r="9" spans="2:10" ht="21.75" customHeight="1">
      <c r="B9" s="643"/>
      <c r="C9" s="524" t="b">
        <v>0</v>
      </c>
      <c r="D9" s="328" t="s">
        <v>583</v>
      </c>
      <c r="E9" s="465">
        <v>5000</v>
      </c>
      <c r="H9" s="231" t="s">
        <v>598</v>
      </c>
      <c r="I9" s="517">
        <f>nrResultAreaUnMit</f>
        <v>0.2268602540834845</v>
      </c>
      <c r="J9" s="518">
        <f>nrResultAreaMit</f>
        <v>0.2268602540834845</v>
      </c>
    </row>
    <row r="10" spans="2:10" ht="16.5" customHeight="1" thickBot="1">
      <c r="B10" s="643"/>
      <c r="C10" s="360"/>
      <c r="D10" s="343"/>
      <c r="E10" s="361"/>
      <c r="H10" s="231" t="s">
        <v>8</v>
      </c>
      <c r="I10" s="517">
        <f>nrResultElec</f>
        <v>138.4995192964466</v>
      </c>
      <c r="J10" s="518">
        <f>nrResultElecMit</f>
        <v>116.17070404943875</v>
      </c>
    </row>
    <row r="11" spans="2:10" ht="28.5" customHeight="1">
      <c r="B11" s="643"/>
      <c r="C11" s="360"/>
      <c r="D11" s="343"/>
      <c r="E11" s="363" t="s">
        <v>593</v>
      </c>
      <c r="F11" s="364" t="s">
        <v>595</v>
      </c>
      <c r="H11" s="231" t="s">
        <v>292</v>
      </c>
      <c r="I11" s="517">
        <f>nrResultGas</f>
        <v>61.02906995099828</v>
      </c>
      <c r="J11" s="518">
        <f>nrResultGasMit</f>
        <v>51.9649785327587</v>
      </c>
    </row>
    <row r="12" spans="2:10" ht="21.75" customHeight="1" thickBot="1">
      <c r="B12" s="643"/>
      <c r="C12" s="524" t="b">
        <v>1</v>
      </c>
      <c r="D12" s="328" t="s">
        <v>584</v>
      </c>
      <c r="E12" s="466">
        <v>5000</v>
      </c>
      <c r="F12" s="467">
        <v>2</v>
      </c>
      <c r="H12" s="231" t="s">
        <v>12</v>
      </c>
      <c r="I12" s="517">
        <f>nrResultWater</f>
        <v>4.121633518757423</v>
      </c>
      <c r="J12" s="518">
        <f>nrResultWaterMit</f>
        <v>3.948035942877788</v>
      </c>
    </row>
    <row r="13" spans="2:10" ht="15.75" customHeight="1">
      <c r="B13" s="643"/>
      <c r="D13" s="569"/>
      <c r="E13" s="570"/>
      <c r="H13" s="231" t="s">
        <v>9</v>
      </c>
      <c r="I13" s="517">
        <f>nrResultSolidWaste</f>
        <v>35.36909281929849</v>
      </c>
      <c r="J13" s="518">
        <f>nrResultSolidWasteMit</f>
        <v>35.36909281929849</v>
      </c>
    </row>
    <row r="14" spans="2:10" ht="30" customHeight="1">
      <c r="B14" s="643"/>
      <c r="D14" s="568"/>
      <c r="E14" s="356" t="s">
        <v>727</v>
      </c>
      <c r="H14" s="231" t="s">
        <v>599</v>
      </c>
      <c r="I14" s="517">
        <f>nrResultAg</f>
        <v>0</v>
      </c>
      <c r="J14" s="518">
        <f>nrResultAg</f>
        <v>0</v>
      </c>
    </row>
    <row r="15" spans="2:10" ht="29.25" customHeight="1">
      <c r="B15" s="643"/>
      <c r="C15" s="524" t="b">
        <v>1</v>
      </c>
      <c r="D15" s="345" t="s">
        <v>726</v>
      </c>
      <c r="E15" s="468">
        <v>15</v>
      </c>
      <c r="H15" s="231" t="s">
        <v>495</v>
      </c>
      <c r="I15" s="517">
        <f>nrResultOffRoad</f>
        <v>0</v>
      </c>
      <c r="J15" s="518">
        <f>nrResultOffRoad</f>
        <v>0</v>
      </c>
    </row>
    <row r="16" spans="2:10" ht="16.5" customHeight="1">
      <c r="B16" s="643"/>
      <c r="C16" s="360"/>
      <c r="D16" s="342"/>
      <c r="E16" s="242"/>
      <c r="H16" s="231" t="s">
        <v>546</v>
      </c>
      <c r="I16" s="517">
        <f>nrResultRefrigerant</f>
        <v>0</v>
      </c>
      <c r="J16" s="518">
        <f>nrResultRefrigerantMit</f>
        <v>0</v>
      </c>
    </row>
    <row r="17" spans="2:10" ht="21.75" customHeight="1">
      <c r="B17" s="643"/>
      <c r="C17" s="360"/>
      <c r="D17" s="342"/>
      <c r="E17" s="356" t="s">
        <v>586</v>
      </c>
      <c r="F17" s="232"/>
      <c r="H17" s="231" t="s">
        <v>600</v>
      </c>
      <c r="I17" s="519" t="s">
        <v>602</v>
      </c>
      <c r="J17" s="518">
        <f>nrResultSequester*-1</f>
        <v>0</v>
      </c>
    </row>
    <row r="18" spans="2:10" ht="21.75" customHeight="1">
      <c r="B18" s="643"/>
      <c r="C18" s="524" t="b">
        <v>0</v>
      </c>
      <c r="D18" s="328" t="s">
        <v>590</v>
      </c>
      <c r="E18" s="465">
        <v>5000</v>
      </c>
      <c r="H18" s="425" t="s">
        <v>668</v>
      </c>
      <c r="I18" s="426" t="s">
        <v>602</v>
      </c>
      <c r="J18" s="520">
        <f>IF(C35,E35*-1,0)</f>
        <v>0</v>
      </c>
    </row>
    <row r="19" spans="2:10" ht="21.75" customHeight="1" thickBot="1">
      <c r="B19" s="643"/>
      <c r="C19" s="525" t="b">
        <v>0</v>
      </c>
      <c r="D19" s="329" t="s">
        <v>591</v>
      </c>
      <c r="E19" s="465">
        <v>5000</v>
      </c>
      <c r="H19" s="521" t="s">
        <v>399</v>
      </c>
      <c r="I19" s="522">
        <f>SUM(I8:I16)</f>
        <v>664.9141115080636</v>
      </c>
      <c r="J19" s="523">
        <f>SUM(J8:J18)</f>
        <v>568.8723592997737</v>
      </c>
    </row>
    <row r="20" spans="2:5" ht="21.75" customHeight="1" thickBot="1">
      <c r="B20" s="644"/>
      <c r="C20" s="526" t="b">
        <v>0</v>
      </c>
      <c r="D20" s="362" t="s">
        <v>592</v>
      </c>
      <c r="E20" s="469">
        <v>5000</v>
      </c>
    </row>
    <row r="21" ht="15.75" thickBot="1">
      <c r="C21" s="232"/>
    </row>
    <row r="22" spans="2:10" ht="15.75">
      <c r="B22" s="639" t="s">
        <v>12</v>
      </c>
      <c r="C22" s="352"/>
      <c r="D22" s="229"/>
      <c r="E22" s="353" t="s">
        <v>596</v>
      </c>
      <c r="H22" s="512"/>
      <c r="I22" s="513"/>
      <c r="J22" s="514"/>
    </row>
    <row r="23" spans="2:9" ht="21.75" customHeight="1">
      <c r="B23" s="640"/>
      <c r="C23" s="527" t="b">
        <v>1</v>
      </c>
      <c r="D23" s="329" t="s">
        <v>585</v>
      </c>
      <c r="E23" s="465">
        <v>10</v>
      </c>
      <c r="F23" s="232"/>
      <c r="I23" s="327"/>
    </row>
    <row r="24" spans="2:9" ht="15.75">
      <c r="B24" s="640"/>
      <c r="C24" s="354"/>
      <c r="D24" s="344"/>
      <c r="E24" s="355"/>
      <c r="F24" s="232"/>
      <c r="I24" s="327"/>
    </row>
    <row r="25" spans="2:9" ht="27.75" customHeight="1">
      <c r="B25" s="640"/>
      <c r="C25" s="231"/>
      <c r="D25" s="232"/>
      <c r="E25" s="356" t="s">
        <v>597</v>
      </c>
      <c r="F25" s="232"/>
      <c r="I25" s="327"/>
    </row>
    <row r="26" spans="2:9" ht="21.75" customHeight="1" thickBot="1">
      <c r="B26" s="641"/>
      <c r="C26" s="528" t="b">
        <v>1</v>
      </c>
      <c r="D26" s="357" t="s">
        <v>587</v>
      </c>
      <c r="E26" s="469">
        <v>2</v>
      </c>
      <c r="F26" s="232"/>
      <c r="I26" s="327"/>
    </row>
    <row r="27" spans="2:9" ht="16.5" thickBot="1">
      <c r="B27" s="340"/>
      <c r="C27" s="232"/>
      <c r="I27" s="327"/>
    </row>
    <row r="28" spans="2:9" ht="15.75">
      <c r="B28" s="645" t="s">
        <v>9</v>
      </c>
      <c r="C28" s="352"/>
      <c r="D28" s="229"/>
      <c r="E28" s="365" t="s">
        <v>604</v>
      </c>
      <c r="I28" s="327"/>
    </row>
    <row r="29" spans="2:9" ht="21.75" customHeight="1" thickBot="1">
      <c r="B29" s="646"/>
      <c r="C29" s="526" t="b">
        <v>0</v>
      </c>
      <c r="D29" s="366" t="s">
        <v>603</v>
      </c>
      <c r="E29" s="469">
        <v>10</v>
      </c>
      <c r="I29" s="327"/>
    </row>
    <row r="30" spans="2:9" ht="16.5" thickBot="1">
      <c r="B30" s="340"/>
      <c r="C30" s="232"/>
      <c r="I30" s="327"/>
    </row>
    <row r="31" spans="2:5" ht="15">
      <c r="B31" s="647" t="s">
        <v>546</v>
      </c>
      <c r="C31" s="352"/>
      <c r="D31" s="229"/>
      <c r="E31" s="367" t="s">
        <v>588</v>
      </c>
    </row>
    <row r="32" spans="2:5" ht="21.75" customHeight="1" thickBot="1">
      <c r="B32" s="648"/>
      <c r="C32" s="528" t="b">
        <v>0</v>
      </c>
      <c r="D32" s="368" t="s">
        <v>601</v>
      </c>
      <c r="E32" s="469">
        <v>50</v>
      </c>
    </row>
    <row r="33" ht="15.75" thickBot="1"/>
    <row r="34" spans="2:5" ht="15">
      <c r="B34" s="637" t="s">
        <v>665</v>
      </c>
      <c r="C34" s="352"/>
      <c r="D34" s="229"/>
      <c r="E34" s="367" t="s">
        <v>667</v>
      </c>
    </row>
    <row r="35" spans="2:5" ht="21" customHeight="1" thickBot="1">
      <c r="B35" s="638"/>
      <c r="C35" s="528" t="b">
        <v>0</v>
      </c>
      <c r="D35" s="368" t="s">
        <v>666</v>
      </c>
      <c r="E35" s="469">
        <v>5000</v>
      </c>
    </row>
    <row r="38" spans="4:5" ht="15">
      <c r="D38" s="379" t="s">
        <v>640</v>
      </c>
      <c r="E38" s="380"/>
    </row>
    <row r="39" spans="4:5" ht="15">
      <c r="D39" s="373"/>
      <c r="E39" s="374">
        <f>IF(C8,E8,0)</f>
        <v>0</v>
      </c>
    </row>
    <row r="40" spans="4:5" ht="15">
      <c r="D40" s="373"/>
      <c r="E40" s="374">
        <f>IF(C9,E9,0)</f>
        <v>0</v>
      </c>
    </row>
    <row r="41" spans="4:5" ht="15">
      <c r="D41" s="373"/>
      <c r="E41" s="374"/>
    </row>
    <row r="42" spans="4:5" ht="15">
      <c r="D42" s="373"/>
      <c r="E42" s="374"/>
    </row>
    <row r="43" spans="4:5" ht="15">
      <c r="D43" s="373"/>
      <c r="E43" s="375">
        <f>IF(C12,-F12,0)</f>
        <v>-2</v>
      </c>
    </row>
    <row r="44" spans="4:5" ht="15">
      <c r="D44" s="376" t="s">
        <v>614</v>
      </c>
      <c r="E44" s="374">
        <f>SUM(E39:E43)</f>
        <v>-2</v>
      </c>
    </row>
    <row r="45" spans="4:5" ht="15">
      <c r="D45" s="373"/>
      <c r="E45" s="374"/>
    </row>
    <row r="46" spans="4:5" ht="15">
      <c r="D46" s="373"/>
      <c r="E46" s="374">
        <f>IF(C12,E12,0)</f>
        <v>5000</v>
      </c>
    </row>
    <row r="47" spans="4:5" ht="15">
      <c r="D47" s="373"/>
      <c r="E47" s="374">
        <f>IF(C18,E18,0)</f>
        <v>0</v>
      </c>
    </row>
    <row r="48" spans="4:5" ht="15">
      <c r="D48" s="373"/>
      <c r="E48" s="374">
        <f>IF(C19,E19,0)</f>
        <v>0</v>
      </c>
    </row>
    <row r="49" spans="4:5" ht="15">
      <c r="D49" s="373"/>
      <c r="E49" s="374">
        <f>IF(C20,E20,0)</f>
        <v>0</v>
      </c>
    </row>
    <row r="50" spans="4:5" ht="15">
      <c r="D50" s="376" t="s">
        <v>613</v>
      </c>
      <c r="E50" s="374">
        <f>SUM(E46:E49)</f>
        <v>5000</v>
      </c>
    </row>
    <row r="51" spans="4:5" ht="15">
      <c r="D51" s="376" t="s">
        <v>728</v>
      </c>
      <c r="E51" s="374">
        <f>IF(C15,E15,0)</f>
        <v>15</v>
      </c>
    </row>
    <row r="52" spans="4:5" ht="15">
      <c r="D52" s="373"/>
      <c r="E52" s="374"/>
    </row>
    <row r="53" spans="4:5" ht="15">
      <c r="D53" s="376" t="s">
        <v>615</v>
      </c>
      <c r="E53" s="374">
        <f>IF(C23,E23,0)</f>
        <v>10</v>
      </c>
    </row>
    <row r="54" spans="4:5" ht="15">
      <c r="D54" s="373"/>
      <c r="E54" s="374"/>
    </row>
    <row r="55" spans="4:5" ht="15">
      <c r="D55" s="373"/>
      <c r="E55" s="374"/>
    </row>
    <row r="56" spans="4:5" ht="15">
      <c r="D56" s="376" t="s">
        <v>616</v>
      </c>
      <c r="E56" s="374">
        <f>IF(C26,E26,0)</f>
        <v>2</v>
      </c>
    </row>
    <row r="57" spans="4:5" ht="15">
      <c r="D57" s="373"/>
      <c r="E57" s="374"/>
    </row>
    <row r="58" spans="4:5" ht="15">
      <c r="D58" s="373"/>
      <c r="E58" s="374"/>
    </row>
    <row r="59" spans="4:5" ht="15">
      <c r="D59" s="376" t="s">
        <v>604</v>
      </c>
      <c r="E59" s="374">
        <f>IF(C29,E29,0)</f>
        <v>0</v>
      </c>
    </row>
    <row r="60" spans="4:5" ht="15">
      <c r="D60" s="373"/>
      <c r="E60" s="374"/>
    </row>
    <row r="61" spans="4:5" ht="15">
      <c r="D61" s="373"/>
      <c r="E61" s="374"/>
    </row>
    <row r="62" spans="4:5" ht="15">
      <c r="D62" s="377" t="s">
        <v>617</v>
      </c>
      <c r="E62" s="378">
        <f>IF(C32,E32,0)</f>
        <v>0</v>
      </c>
    </row>
  </sheetData>
  <sheetProtection password="A20C" sheet="1" objects="1" scenarios="1"/>
  <mergeCells count="6">
    <mergeCell ref="B3:D3"/>
    <mergeCell ref="B34:B35"/>
    <mergeCell ref="B22:B26"/>
    <mergeCell ref="B7:B20"/>
    <mergeCell ref="B28:B29"/>
    <mergeCell ref="B31:B32"/>
  </mergeCells>
  <printOptions/>
  <pageMargins left="0.7" right="0.7" top="0.75" bottom="0.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wksCarbonV">
    <tabColor theme="8" tint="-0.24997000396251678"/>
  </sheetPr>
  <dimension ref="A1:Z887"/>
  <sheetViews>
    <sheetView showGridLines="0" showRowColHeaders="0" zoomScale="90" zoomScaleNormal="90" zoomScalePageLayoutView="0" workbookViewId="0" topLeftCell="A1">
      <selection activeCell="A4" sqref="A4"/>
    </sheetView>
  </sheetViews>
  <sheetFormatPr defaultColWidth="9.140625" defaultRowHeight="15"/>
  <cols>
    <col min="1" max="1" width="4.421875" style="30" customWidth="1"/>
    <col min="2" max="2" width="19.8515625" style="30" customWidth="1"/>
    <col min="3" max="3" width="14.28125" style="30" customWidth="1"/>
    <col min="4" max="4" width="12.28125" style="30" customWidth="1"/>
    <col min="5" max="5" width="11.140625" style="30" customWidth="1"/>
    <col min="6" max="6" width="10.421875" style="30" customWidth="1"/>
    <col min="7" max="7" width="11.140625" style="30" customWidth="1"/>
    <col min="8" max="8" width="10.7109375" style="30" customWidth="1"/>
    <col min="9" max="9" width="12.140625" style="30" customWidth="1"/>
    <col min="10" max="10" width="11.8515625" style="30" customWidth="1"/>
    <col min="11" max="16384" width="9.140625" style="30" customWidth="1"/>
  </cols>
  <sheetData>
    <row r="1" spans="2:23" ht="15.75" customHeight="1">
      <c r="B1" s="34" t="s">
        <v>177</v>
      </c>
      <c r="U1" s="34"/>
      <c r="V1" s="34"/>
      <c r="W1" s="34"/>
    </row>
    <row r="2" ht="15.75" customHeight="1"/>
    <row r="3" spans="1:26" ht="26.25" customHeight="1">
      <c r="A3" s="17"/>
      <c r="B3" s="651" t="s">
        <v>11</v>
      </c>
      <c r="C3" s="651"/>
      <c r="D3" s="651"/>
      <c r="E3" s="651"/>
      <c r="F3" s="17"/>
      <c r="G3" s="17"/>
      <c r="H3" s="17"/>
      <c r="I3" s="17"/>
      <c r="J3" s="17"/>
      <c r="K3" s="17"/>
      <c r="L3" s="17"/>
      <c r="M3" s="17"/>
      <c r="N3" s="17"/>
      <c r="O3" s="17"/>
      <c r="P3" s="17"/>
      <c r="Q3" s="17"/>
      <c r="R3" s="17"/>
      <c r="S3" s="17"/>
      <c r="T3" s="17"/>
      <c r="U3" s="17"/>
      <c r="V3" s="17"/>
      <c r="W3" s="17"/>
      <c r="X3" s="17"/>
      <c r="Y3" s="17"/>
      <c r="Z3" s="17"/>
    </row>
    <row r="4" ht="15.75" customHeight="1" thickBot="1"/>
    <row r="5" spans="3:6" ht="15.75" customHeight="1" thickBot="1">
      <c r="C5" s="658" t="s">
        <v>633</v>
      </c>
      <c r="D5" s="659"/>
      <c r="E5" s="659"/>
      <c r="F5" s="415">
        <f>nrProjectYear</f>
        <v>2012</v>
      </c>
    </row>
    <row r="6" spans="3:6" ht="15.75" customHeight="1" thickBot="1">
      <c r="C6" s="658" t="s">
        <v>634</v>
      </c>
      <c r="D6" s="659"/>
      <c r="E6" s="659"/>
      <c r="F6" s="416">
        <f>IF(nrProjectYear&lt;E9,0,HLOOKUP(nrProjectYear,E9:S11,3))</f>
        <v>0</v>
      </c>
    </row>
    <row r="7" ht="15.75" customHeight="1" thickBot="1"/>
    <row r="8" spans="2:19" ht="15.75" customHeight="1" thickTop="1">
      <c r="B8" s="102"/>
      <c r="C8" s="103"/>
      <c r="D8" s="104" t="s">
        <v>436</v>
      </c>
      <c r="E8" s="103"/>
      <c r="F8" s="103"/>
      <c r="G8" s="103"/>
      <c r="H8" s="103"/>
      <c r="I8" s="103"/>
      <c r="J8" s="103"/>
      <c r="K8" s="103"/>
      <c r="L8" s="103"/>
      <c r="M8" s="103"/>
      <c r="N8" s="103"/>
      <c r="O8" s="103"/>
      <c r="P8" s="103"/>
      <c r="Q8" s="103"/>
      <c r="R8" s="103"/>
      <c r="S8" s="105"/>
    </row>
    <row r="9" spans="2:19" ht="15.75" customHeight="1" thickBot="1">
      <c r="B9" s="106" t="s">
        <v>437</v>
      </c>
      <c r="C9" s="107" t="s">
        <v>438</v>
      </c>
      <c r="D9" s="107" t="s">
        <v>439</v>
      </c>
      <c r="E9" s="108">
        <f>+B16</f>
        <v>2010</v>
      </c>
      <c r="F9" s="108">
        <f>+B17</f>
        <v>2011</v>
      </c>
      <c r="G9" s="108">
        <f>+B18</f>
        <v>2012</v>
      </c>
      <c r="H9" s="108">
        <f>+B19</f>
        <v>2013</v>
      </c>
      <c r="I9" s="108">
        <f>+B20</f>
        <v>2014</v>
      </c>
      <c r="J9" s="108">
        <f>+B21</f>
        <v>2015</v>
      </c>
      <c r="K9" s="108">
        <f>+B22</f>
        <v>2016</v>
      </c>
      <c r="L9" s="108">
        <f>+B23</f>
        <v>2017</v>
      </c>
      <c r="M9" s="108">
        <f>+B24</f>
        <v>2018</v>
      </c>
      <c r="N9" s="108">
        <f>+B25</f>
        <v>2019</v>
      </c>
      <c r="O9" s="108">
        <f>+B26</f>
        <v>2020</v>
      </c>
      <c r="P9" s="108">
        <f>+B27</f>
        <v>2021</v>
      </c>
      <c r="Q9" s="108">
        <f>+B28</f>
        <v>2022</v>
      </c>
      <c r="R9" s="108">
        <f>+B29</f>
        <v>2023</v>
      </c>
      <c r="S9" s="109">
        <f>+B30</f>
        <v>2024</v>
      </c>
    </row>
    <row r="10" spans="2:19" ht="15.75" customHeight="1" thickTop="1">
      <c r="B10" s="110" t="s">
        <v>440</v>
      </c>
      <c r="C10" s="111" t="s">
        <v>441</v>
      </c>
      <c r="D10" s="111" t="s">
        <v>442</v>
      </c>
      <c r="E10" s="223">
        <f>+K47*0.907441016333938</f>
        <v>0</v>
      </c>
      <c r="F10" s="223">
        <f aca="true" t="shared" si="0" ref="F10:S10">+F11+E10</f>
        <v>0</v>
      </c>
      <c r="G10" s="223">
        <f t="shared" si="0"/>
        <v>0</v>
      </c>
      <c r="H10" s="223">
        <f t="shared" si="0"/>
        <v>0</v>
      </c>
      <c r="I10" s="223">
        <f t="shared" si="0"/>
        <v>0</v>
      </c>
      <c r="J10" s="224">
        <f t="shared" si="0"/>
        <v>0</v>
      </c>
      <c r="K10" s="224">
        <f t="shared" si="0"/>
        <v>0</v>
      </c>
      <c r="L10" s="224">
        <f t="shared" si="0"/>
        <v>0</v>
      </c>
      <c r="M10" s="224">
        <f t="shared" si="0"/>
        <v>0</v>
      </c>
      <c r="N10" s="224">
        <f t="shared" si="0"/>
        <v>0</v>
      </c>
      <c r="O10" s="224">
        <f t="shared" si="0"/>
        <v>0</v>
      </c>
      <c r="P10" s="224">
        <f t="shared" si="0"/>
        <v>0</v>
      </c>
      <c r="Q10" s="224">
        <f t="shared" si="0"/>
        <v>0</v>
      </c>
      <c r="R10" s="224">
        <f t="shared" si="0"/>
        <v>0</v>
      </c>
      <c r="S10" s="224">
        <f t="shared" si="0"/>
        <v>0</v>
      </c>
    </row>
    <row r="11" spans="2:19" ht="15.75" customHeight="1">
      <c r="B11" s="112" t="s">
        <v>440</v>
      </c>
      <c r="C11" s="113" t="s">
        <v>443</v>
      </c>
      <c r="D11" s="113" t="s">
        <v>442</v>
      </c>
      <c r="E11" s="225">
        <f>+K47*0.907441016333938</f>
        <v>0</v>
      </c>
      <c r="F11" s="225">
        <f>+K68*0.907441016333938</f>
        <v>0</v>
      </c>
      <c r="G11" s="225">
        <f>+K95*0.907441016333938</f>
        <v>0</v>
      </c>
      <c r="H11" s="225">
        <f>+K128*0.907441016333938</f>
        <v>0</v>
      </c>
      <c r="I11" s="225">
        <f>+K167*0.907441016333938</f>
        <v>0</v>
      </c>
      <c r="J11" s="226">
        <f>+K212*0.907441016333938</f>
        <v>0</v>
      </c>
      <c r="K11" s="226">
        <f>+K263*0.907441016333938</f>
        <v>0</v>
      </c>
      <c r="L11" s="226">
        <f>+K320*0.907441016333938</f>
        <v>0</v>
      </c>
      <c r="M11" s="226">
        <f>+K383*0.907441016333938</f>
        <v>0</v>
      </c>
      <c r="N11" s="226">
        <f>+K452*0.907441016333938</f>
        <v>0</v>
      </c>
      <c r="O11" s="226">
        <f>+K527*0.907441016333938</f>
        <v>0</v>
      </c>
      <c r="P11" s="226">
        <f>+K608*0.907441016333938</f>
        <v>0</v>
      </c>
      <c r="Q11" s="226">
        <f>+K695*0.907441016333938</f>
        <v>0</v>
      </c>
      <c r="R11" s="226">
        <f>+K788*0.907441016333938</f>
        <v>0</v>
      </c>
      <c r="S11" s="226">
        <f>+K887*0.907441016333938</f>
        <v>0</v>
      </c>
    </row>
    <row r="12" ht="15.75" customHeight="1"/>
    <row r="13" spans="2:8" ht="15.75" customHeight="1">
      <c r="B13" s="652" t="s">
        <v>56</v>
      </c>
      <c r="C13" s="654" t="s">
        <v>430</v>
      </c>
      <c r="D13" s="655"/>
      <c r="E13" s="655"/>
      <c r="F13" s="655"/>
      <c r="G13" s="655"/>
      <c r="H13" s="656"/>
    </row>
    <row r="14" spans="2:8" ht="15">
      <c r="B14" s="653"/>
      <c r="C14" s="657" t="s">
        <v>431</v>
      </c>
      <c r="D14" s="657"/>
      <c r="E14" s="657"/>
      <c r="F14" s="657" t="s">
        <v>432</v>
      </c>
      <c r="G14" s="657"/>
      <c r="H14" s="657"/>
    </row>
    <row r="15" spans="2:8" ht="15">
      <c r="B15" s="653"/>
      <c r="C15" s="60" t="s">
        <v>433</v>
      </c>
      <c r="D15" s="60" t="s">
        <v>434</v>
      </c>
      <c r="E15" s="60" t="s">
        <v>435</v>
      </c>
      <c r="F15" s="60" t="s">
        <v>433</v>
      </c>
      <c r="G15" s="60" t="s">
        <v>434</v>
      </c>
      <c r="H15" s="60" t="s">
        <v>435</v>
      </c>
    </row>
    <row r="16" spans="2:8" ht="15.75">
      <c r="B16" s="99">
        <v>2010</v>
      </c>
      <c r="C16" s="121"/>
      <c r="D16" s="121"/>
      <c r="E16" s="121"/>
      <c r="F16" s="121"/>
      <c r="G16" s="121"/>
      <c r="H16" s="121"/>
    </row>
    <row r="17" spans="2:13" ht="15.75">
      <c r="B17" s="100">
        <f>B16+1</f>
        <v>2011</v>
      </c>
      <c r="C17" s="121"/>
      <c r="D17" s="121"/>
      <c r="E17" s="121"/>
      <c r="F17" s="121"/>
      <c r="G17" s="121"/>
      <c r="H17" s="121"/>
      <c r="M17" s="78"/>
    </row>
    <row r="18" spans="2:8" ht="15.75">
      <c r="B18" s="100">
        <f aca="true" t="shared" si="1" ref="B18:B30">B17+1</f>
        <v>2012</v>
      </c>
      <c r="C18" s="121"/>
      <c r="D18" s="121"/>
      <c r="E18" s="121"/>
      <c r="F18" s="121"/>
      <c r="G18" s="121"/>
      <c r="H18" s="121"/>
    </row>
    <row r="19" spans="2:8" ht="15.75">
      <c r="B19" s="100">
        <f t="shared" si="1"/>
        <v>2013</v>
      </c>
      <c r="C19" s="121"/>
      <c r="D19" s="121"/>
      <c r="E19" s="121"/>
      <c r="F19" s="121"/>
      <c r="G19" s="121"/>
      <c r="H19" s="121"/>
    </row>
    <row r="20" spans="2:8" ht="15.75">
      <c r="B20" s="100">
        <f t="shared" si="1"/>
        <v>2014</v>
      </c>
      <c r="C20" s="121"/>
      <c r="D20" s="121"/>
      <c r="E20" s="121"/>
      <c r="F20" s="121"/>
      <c r="G20" s="121"/>
      <c r="H20" s="121"/>
    </row>
    <row r="21" spans="2:8" ht="15.75">
      <c r="B21" s="100">
        <f t="shared" si="1"/>
        <v>2015</v>
      </c>
      <c r="C21" s="121"/>
      <c r="D21" s="121"/>
      <c r="E21" s="121"/>
      <c r="F21" s="121"/>
      <c r="G21" s="121"/>
      <c r="H21" s="121"/>
    </row>
    <row r="22" spans="2:8" ht="15.75">
      <c r="B22" s="100">
        <f t="shared" si="1"/>
        <v>2016</v>
      </c>
      <c r="C22" s="121"/>
      <c r="D22" s="121"/>
      <c r="E22" s="121"/>
      <c r="F22" s="121"/>
      <c r="G22" s="121"/>
      <c r="H22" s="121"/>
    </row>
    <row r="23" spans="2:8" ht="15.75">
      <c r="B23" s="100">
        <f t="shared" si="1"/>
        <v>2017</v>
      </c>
      <c r="C23" s="121"/>
      <c r="D23" s="121"/>
      <c r="E23" s="121"/>
      <c r="F23" s="121"/>
      <c r="G23" s="121"/>
      <c r="H23" s="121"/>
    </row>
    <row r="24" spans="2:8" ht="15.75">
      <c r="B24" s="100">
        <f t="shared" si="1"/>
        <v>2018</v>
      </c>
      <c r="C24" s="121"/>
      <c r="D24" s="121"/>
      <c r="E24" s="121"/>
      <c r="F24" s="121"/>
      <c r="G24" s="121"/>
      <c r="H24" s="121"/>
    </row>
    <row r="25" spans="2:8" ht="15.75">
      <c r="B25" s="100">
        <f t="shared" si="1"/>
        <v>2019</v>
      </c>
      <c r="C25" s="121"/>
      <c r="D25" s="121"/>
      <c r="E25" s="121"/>
      <c r="F25" s="121"/>
      <c r="G25" s="121"/>
      <c r="H25" s="121"/>
    </row>
    <row r="26" spans="2:8" ht="15.75">
      <c r="B26" s="100">
        <f t="shared" si="1"/>
        <v>2020</v>
      </c>
      <c r="C26" s="121"/>
      <c r="D26" s="121"/>
      <c r="E26" s="121"/>
      <c r="F26" s="121"/>
      <c r="G26" s="121"/>
      <c r="H26" s="121"/>
    </row>
    <row r="27" spans="2:8" ht="15.75">
      <c r="B27" s="100">
        <f t="shared" si="1"/>
        <v>2021</v>
      </c>
      <c r="C27" s="121"/>
      <c r="D27" s="121"/>
      <c r="E27" s="121"/>
      <c r="F27" s="121"/>
      <c r="G27" s="121"/>
      <c r="H27" s="121"/>
    </row>
    <row r="28" spans="2:8" ht="15.75">
      <c r="B28" s="100">
        <f t="shared" si="1"/>
        <v>2022</v>
      </c>
      <c r="C28" s="121"/>
      <c r="D28" s="121"/>
      <c r="E28" s="121"/>
      <c r="F28" s="121"/>
      <c r="G28" s="121"/>
      <c r="H28" s="121"/>
    </row>
    <row r="29" spans="2:8" ht="15.75">
      <c r="B29" s="100">
        <f t="shared" si="1"/>
        <v>2023</v>
      </c>
      <c r="C29" s="121"/>
      <c r="D29" s="121"/>
      <c r="E29" s="121"/>
      <c r="F29" s="121"/>
      <c r="G29" s="121"/>
      <c r="H29" s="121"/>
    </row>
    <row r="30" spans="2:8" ht="15.75">
      <c r="B30" s="101">
        <f t="shared" si="1"/>
        <v>2024</v>
      </c>
      <c r="C30" s="121"/>
      <c r="D30" s="121"/>
      <c r="E30" s="121"/>
      <c r="F30" s="121"/>
      <c r="G30" s="121"/>
      <c r="H30" s="121"/>
    </row>
    <row r="32" spans="2:9" ht="15">
      <c r="B32" s="78"/>
      <c r="C32" s="78"/>
      <c r="D32" s="78"/>
      <c r="E32" s="78"/>
      <c r="F32" s="78"/>
      <c r="G32" s="78"/>
      <c r="H32" s="78"/>
      <c r="I32" s="78"/>
    </row>
    <row r="34" spans="2:11" ht="15.75" thickBot="1">
      <c r="B34" s="217" t="s">
        <v>444</v>
      </c>
      <c r="C34" s="217"/>
      <c r="D34" s="217"/>
      <c r="E34" s="217"/>
      <c r="F34" s="217"/>
      <c r="G34" s="217"/>
      <c r="H34"/>
      <c r="I34"/>
      <c r="J34"/>
      <c r="K34"/>
    </row>
    <row r="35" spans="2:11" ht="15.75" thickBot="1">
      <c r="B35"/>
      <c r="C35"/>
      <c r="D35"/>
      <c r="E35"/>
      <c r="F35"/>
      <c r="G35"/>
      <c r="H35"/>
      <c r="I35"/>
      <c r="J35"/>
      <c r="K35"/>
    </row>
    <row r="36" spans="2:11" ht="15.75" thickTop="1">
      <c r="B36" s="164" t="s">
        <v>445</v>
      </c>
      <c r="C36" s="129"/>
      <c r="D36" s="129"/>
      <c r="E36" s="129" t="s">
        <v>446</v>
      </c>
      <c r="F36" s="129" t="s">
        <v>447</v>
      </c>
      <c r="G36" s="129" t="s">
        <v>448</v>
      </c>
      <c r="H36" s="129" t="s">
        <v>449</v>
      </c>
      <c r="I36" s="129" t="s">
        <v>450</v>
      </c>
      <c r="J36" s="649" t="s">
        <v>451</v>
      </c>
      <c r="K36" s="650"/>
    </row>
    <row r="37" spans="2:11" ht="15">
      <c r="B37" s="130" t="s">
        <v>452</v>
      </c>
      <c r="C37" s="131" t="s">
        <v>453</v>
      </c>
      <c r="D37" s="131" t="s">
        <v>454</v>
      </c>
      <c r="E37" s="132" t="s">
        <v>455</v>
      </c>
      <c r="F37" s="132" t="s">
        <v>456</v>
      </c>
      <c r="G37" s="132" t="s">
        <v>457</v>
      </c>
      <c r="H37" s="132" t="s">
        <v>458</v>
      </c>
      <c r="I37" s="132" t="s">
        <v>459</v>
      </c>
      <c r="J37" s="132" t="s">
        <v>460</v>
      </c>
      <c r="K37" s="165"/>
    </row>
    <row r="38" spans="2:11" ht="15.75" thickBot="1">
      <c r="B38" s="135"/>
      <c r="C38" s="136" t="s">
        <v>461</v>
      </c>
      <c r="D38" s="136" t="s">
        <v>462</v>
      </c>
      <c r="E38" s="136" t="s">
        <v>463</v>
      </c>
      <c r="F38" s="136" t="s">
        <v>464</v>
      </c>
      <c r="G38" s="132" t="s">
        <v>465</v>
      </c>
      <c r="H38" s="132" t="s">
        <v>466</v>
      </c>
      <c r="I38" s="132" t="s">
        <v>467</v>
      </c>
      <c r="J38" s="137" t="s">
        <v>468</v>
      </c>
      <c r="K38" s="138" t="s">
        <v>469</v>
      </c>
    </row>
    <row r="39" spans="2:11" ht="15.75" thickTop="1">
      <c r="B39" s="139" t="s">
        <v>470</v>
      </c>
      <c r="C39" s="129" t="s">
        <v>471</v>
      </c>
      <c r="D39" s="129" t="s">
        <v>450</v>
      </c>
      <c r="E39" s="129">
        <v>0</v>
      </c>
      <c r="F39" s="140">
        <f>+C16</f>
        <v>0</v>
      </c>
      <c r="G39" s="129">
        <v>0.873</v>
      </c>
      <c r="H39" s="141">
        <f aca="true" t="shared" si="2" ref="H39:H44">F39*G39</f>
        <v>0</v>
      </c>
      <c r="I39" s="129">
        <v>2.7</v>
      </c>
      <c r="J39" s="142">
        <f aca="true" t="shared" si="3" ref="J39:J44">H39*I39</f>
        <v>0</v>
      </c>
      <c r="K39" s="143">
        <f aca="true" t="shared" si="4" ref="K39:K45">J39/2000</f>
        <v>0</v>
      </c>
    </row>
    <row r="40" spans="2:11" ht="15">
      <c r="B40" s="144" t="s">
        <v>472</v>
      </c>
      <c r="C40" s="132" t="s">
        <v>471</v>
      </c>
      <c r="D40" s="132" t="s">
        <v>473</v>
      </c>
      <c r="E40" s="132">
        <v>0</v>
      </c>
      <c r="F40" s="145">
        <f>+D16</f>
        <v>0</v>
      </c>
      <c r="G40" s="132">
        <v>0.873</v>
      </c>
      <c r="H40" s="146">
        <f t="shared" si="2"/>
        <v>0</v>
      </c>
      <c r="I40" s="146">
        <v>1.9</v>
      </c>
      <c r="J40" s="147">
        <f t="shared" si="3"/>
        <v>0</v>
      </c>
      <c r="K40" s="148">
        <f t="shared" si="4"/>
        <v>0</v>
      </c>
    </row>
    <row r="41" spans="2:11" ht="15">
      <c r="B41" s="144" t="s">
        <v>474</v>
      </c>
      <c r="C41" s="132" t="s">
        <v>471</v>
      </c>
      <c r="D41" s="132" t="s">
        <v>475</v>
      </c>
      <c r="E41" s="132">
        <v>0</v>
      </c>
      <c r="F41" s="145">
        <f>+E16</f>
        <v>0</v>
      </c>
      <c r="G41" s="132">
        <v>0.873</v>
      </c>
      <c r="H41" s="146">
        <f t="shared" si="2"/>
        <v>0</v>
      </c>
      <c r="I41" s="146">
        <v>1.3</v>
      </c>
      <c r="J41" s="147">
        <f t="shared" si="3"/>
        <v>0</v>
      </c>
      <c r="K41" s="148">
        <f t="shared" si="4"/>
        <v>0</v>
      </c>
    </row>
    <row r="42" spans="2:11" ht="15">
      <c r="B42" s="144" t="s">
        <v>476</v>
      </c>
      <c r="C42" s="132" t="s">
        <v>447</v>
      </c>
      <c r="D42" s="132" t="s">
        <v>450</v>
      </c>
      <c r="E42" s="132">
        <v>0</v>
      </c>
      <c r="F42" s="145">
        <f>+F16</f>
        <v>0</v>
      </c>
      <c r="G42" s="132">
        <v>0.873</v>
      </c>
      <c r="H42" s="146">
        <f t="shared" si="2"/>
        <v>0</v>
      </c>
      <c r="I42" s="146">
        <v>1.4</v>
      </c>
      <c r="J42" s="147">
        <f t="shared" si="3"/>
        <v>0</v>
      </c>
      <c r="K42" s="148">
        <f t="shared" si="4"/>
        <v>0</v>
      </c>
    </row>
    <row r="43" spans="2:11" ht="15">
      <c r="B43" s="144" t="s">
        <v>477</v>
      </c>
      <c r="C43" s="132" t="s">
        <v>447</v>
      </c>
      <c r="D43" s="132" t="s">
        <v>473</v>
      </c>
      <c r="E43" s="132">
        <v>0</v>
      </c>
      <c r="F43" s="145">
        <f>+G16</f>
        <v>0</v>
      </c>
      <c r="G43" s="132">
        <v>0.873</v>
      </c>
      <c r="H43" s="146">
        <f t="shared" si="2"/>
        <v>0</v>
      </c>
      <c r="I43" s="146">
        <v>1</v>
      </c>
      <c r="J43" s="147">
        <f t="shared" si="3"/>
        <v>0</v>
      </c>
      <c r="K43" s="148">
        <f t="shared" si="4"/>
        <v>0</v>
      </c>
    </row>
    <row r="44" spans="2:11" ht="15.75" thickBot="1">
      <c r="B44" s="144" t="s">
        <v>478</v>
      </c>
      <c r="C44" s="132" t="s">
        <v>447</v>
      </c>
      <c r="D44" s="132" t="s">
        <v>475</v>
      </c>
      <c r="E44" s="132">
        <v>0</v>
      </c>
      <c r="F44" s="145">
        <f>+H16</f>
        <v>0</v>
      </c>
      <c r="G44" s="132">
        <v>0.873</v>
      </c>
      <c r="H44" s="146">
        <f t="shared" si="2"/>
        <v>0</v>
      </c>
      <c r="I44" s="146">
        <v>0.7</v>
      </c>
      <c r="J44" s="147">
        <f t="shared" si="3"/>
        <v>0</v>
      </c>
      <c r="K44" s="148">
        <f t="shared" si="4"/>
        <v>0</v>
      </c>
    </row>
    <row r="45" spans="2:11" ht="15.75" thickTop="1">
      <c r="B45" s="149"/>
      <c r="C45" s="150"/>
      <c r="D45" s="150"/>
      <c r="E45" s="150"/>
      <c r="F45" s="150"/>
      <c r="G45" s="150"/>
      <c r="H45" s="150"/>
      <c r="I45" s="151" t="s">
        <v>479</v>
      </c>
      <c r="J45" s="152">
        <f>SUM(J39:J44)</f>
        <v>0</v>
      </c>
      <c r="K45" s="143">
        <f t="shared" si="4"/>
        <v>0</v>
      </c>
    </row>
    <row r="46" spans="2:11" ht="15">
      <c r="B46" s="153"/>
      <c r="C46" s="154"/>
      <c r="D46" s="154"/>
      <c r="E46" s="154"/>
      <c r="F46" s="154"/>
      <c r="G46" s="154"/>
      <c r="H46" s="155"/>
      <c r="I46" s="156"/>
      <c r="J46" s="157"/>
      <c r="K46" s="148"/>
    </row>
    <row r="47" spans="2:11" ht="15.75" thickBot="1">
      <c r="B47" s="158"/>
      <c r="C47" s="159"/>
      <c r="D47" s="159"/>
      <c r="E47" s="159"/>
      <c r="F47" s="159"/>
      <c r="G47" s="159"/>
      <c r="H47" s="160"/>
      <c r="I47" s="161" t="s">
        <v>480</v>
      </c>
      <c r="J47" s="162">
        <f>J45*(44/12)</f>
        <v>0</v>
      </c>
      <c r="K47" s="163">
        <f>J47/2000</f>
        <v>0</v>
      </c>
    </row>
    <row r="48" ht="15.75" thickTop="1"/>
    <row r="49" spans="2:11" ht="15.75" thickBot="1">
      <c r="B49" s="217" t="s">
        <v>481</v>
      </c>
      <c r="C49" s="217"/>
      <c r="D49" s="217"/>
      <c r="E49" s="217"/>
      <c r="F49" s="217"/>
      <c r="G49" s="217"/>
      <c r="H49"/>
      <c r="I49"/>
      <c r="J49"/>
      <c r="K49"/>
    </row>
    <row r="50" spans="2:11" ht="15.75" thickBot="1">
      <c r="B50"/>
      <c r="C50"/>
      <c r="D50"/>
      <c r="E50"/>
      <c r="F50"/>
      <c r="G50"/>
      <c r="H50"/>
      <c r="I50"/>
      <c r="J50"/>
      <c r="K50"/>
    </row>
    <row r="51" spans="2:11" ht="15.75" thickTop="1">
      <c r="B51" s="164" t="s">
        <v>445</v>
      </c>
      <c r="C51" s="129"/>
      <c r="D51" s="129"/>
      <c r="E51" s="129" t="s">
        <v>446</v>
      </c>
      <c r="F51" s="129" t="s">
        <v>447</v>
      </c>
      <c r="G51" s="129" t="s">
        <v>448</v>
      </c>
      <c r="H51" s="129" t="s">
        <v>449</v>
      </c>
      <c r="I51" s="129" t="s">
        <v>450</v>
      </c>
      <c r="J51" s="129" t="s">
        <v>451</v>
      </c>
      <c r="K51" s="166"/>
    </row>
    <row r="52" spans="2:11" ht="15">
      <c r="B52" s="130" t="s">
        <v>452</v>
      </c>
      <c r="C52" s="131" t="s">
        <v>453</v>
      </c>
      <c r="D52" s="131" t="s">
        <v>454</v>
      </c>
      <c r="E52" s="132" t="s">
        <v>455</v>
      </c>
      <c r="F52" s="132" t="s">
        <v>456</v>
      </c>
      <c r="G52" s="132" t="s">
        <v>457</v>
      </c>
      <c r="H52" s="132" t="s">
        <v>458</v>
      </c>
      <c r="I52" s="132" t="s">
        <v>459</v>
      </c>
      <c r="J52" s="132" t="s">
        <v>460</v>
      </c>
      <c r="K52" s="165"/>
    </row>
    <row r="53" spans="2:11" ht="15.75" thickBot="1">
      <c r="B53" s="135"/>
      <c r="C53" s="136" t="s">
        <v>461</v>
      </c>
      <c r="D53" s="136" t="s">
        <v>462</v>
      </c>
      <c r="E53" s="136" t="s">
        <v>463</v>
      </c>
      <c r="F53" s="136" t="s">
        <v>464</v>
      </c>
      <c r="G53" s="132" t="s">
        <v>465</v>
      </c>
      <c r="H53" s="132" t="s">
        <v>466</v>
      </c>
      <c r="I53" s="132" t="s">
        <v>467</v>
      </c>
      <c r="J53" s="137" t="s">
        <v>468</v>
      </c>
      <c r="K53" s="138" t="s">
        <v>469</v>
      </c>
    </row>
    <row r="54" spans="2:11" ht="15.75" thickTop="1">
      <c r="B54" s="139" t="s">
        <v>470</v>
      </c>
      <c r="C54" s="129" t="s">
        <v>471</v>
      </c>
      <c r="D54" s="129" t="s">
        <v>450</v>
      </c>
      <c r="E54" s="129">
        <v>0</v>
      </c>
      <c r="F54" s="140">
        <f>+C17</f>
        <v>0</v>
      </c>
      <c r="G54" s="129">
        <v>0.873</v>
      </c>
      <c r="H54" s="141">
        <f aca="true" t="shared" si="5" ref="H54:H65">F54*G54</f>
        <v>0</v>
      </c>
      <c r="I54" s="129">
        <v>2.7</v>
      </c>
      <c r="J54" s="142">
        <f aca="true" t="shared" si="6" ref="J54:J65">H54*I54</f>
        <v>0</v>
      </c>
      <c r="K54" s="143">
        <f aca="true" t="shared" si="7" ref="K54:K66">J54/2000</f>
        <v>0</v>
      </c>
    </row>
    <row r="55" spans="2:11" ht="15">
      <c r="B55" s="144" t="s">
        <v>472</v>
      </c>
      <c r="C55" s="132" t="s">
        <v>471</v>
      </c>
      <c r="D55" s="132" t="s">
        <v>473</v>
      </c>
      <c r="E55" s="132">
        <v>0</v>
      </c>
      <c r="F55" s="145">
        <f>+D17</f>
        <v>0</v>
      </c>
      <c r="G55" s="132">
        <v>0.873</v>
      </c>
      <c r="H55" s="146">
        <f t="shared" si="5"/>
        <v>0</v>
      </c>
      <c r="I55" s="146">
        <v>1.9</v>
      </c>
      <c r="J55" s="147">
        <f t="shared" si="6"/>
        <v>0</v>
      </c>
      <c r="K55" s="148">
        <f t="shared" si="7"/>
        <v>0</v>
      </c>
    </row>
    <row r="56" spans="2:11" ht="15">
      <c r="B56" s="144" t="s">
        <v>474</v>
      </c>
      <c r="C56" s="132" t="s">
        <v>471</v>
      </c>
      <c r="D56" s="132" t="s">
        <v>475</v>
      </c>
      <c r="E56" s="132">
        <v>0</v>
      </c>
      <c r="F56" s="145">
        <f>+E17</f>
        <v>0</v>
      </c>
      <c r="G56" s="132">
        <v>0.873</v>
      </c>
      <c r="H56" s="146">
        <f t="shared" si="5"/>
        <v>0</v>
      </c>
      <c r="I56" s="146">
        <v>1.3</v>
      </c>
      <c r="J56" s="147">
        <f t="shared" si="6"/>
        <v>0</v>
      </c>
      <c r="K56" s="148">
        <f t="shared" si="7"/>
        <v>0</v>
      </c>
    </row>
    <row r="57" spans="2:11" ht="15">
      <c r="B57" s="144" t="s">
        <v>476</v>
      </c>
      <c r="C57" s="132" t="s">
        <v>447</v>
      </c>
      <c r="D57" s="132" t="s">
        <v>450</v>
      </c>
      <c r="E57" s="132">
        <v>0</v>
      </c>
      <c r="F57" s="145">
        <f>+F17</f>
        <v>0</v>
      </c>
      <c r="G57" s="132">
        <v>0.873</v>
      </c>
      <c r="H57" s="146">
        <f t="shared" si="5"/>
        <v>0</v>
      </c>
      <c r="I57" s="146">
        <v>1.4</v>
      </c>
      <c r="J57" s="147">
        <f t="shared" si="6"/>
        <v>0</v>
      </c>
      <c r="K57" s="148">
        <f t="shared" si="7"/>
        <v>0</v>
      </c>
    </row>
    <row r="58" spans="2:11" ht="15">
      <c r="B58" s="144" t="s">
        <v>477</v>
      </c>
      <c r="C58" s="132" t="s">
        <v>447</v>
      </c>
      <c r="D58" s="132" t="s">
        <v>473</v>
      </c>
      <c r="E58" s="132">
        <v>0</v>
      </c>
      <c r="F58" s="145">
        <f>+G17</f>
        <v>0</v>
      </c>
      <c r="G58" s="132">
        <v>0.873</v>
      </c>
      <c r="H58" s="146">
        <f t="shared" si="5"/>
        <v>0</v>
      </c>
      <c r="I58" s="146">
        <v>1</v>
      </c>
      <c r="J58" s="147">
        <f t="shared" si="6"/>
        <v>0</v>
      </c>
      <c r="K58" s="148">
        <f t="shared" si="7"/>
        <v>0</v>
      </c>
    </row>
    <row r="59" spans="2:11" ht="15">
      <c r="B59" s="144" t="s">
        <v>478</v>
      </c>
      <c r="C59" s="132" t="s">
        <v>447</v>
      </c>
      <c r="D59" s="132" t="s">
        <v>475</v>
      </c>
      <c r="E59" s="132">
        <v>0</v>
      </c>
      <c r="F59" s="145">
        <f>+H17</f>
        <v>0</v>
      </c>
      <c r="G59" s="132">
        <v>0.873</v>
      </c>
      <c r="H59" s="146">
        <f t="shared" si="5"/>
        <v>0</v>
      </c>
      <c r="I59" s="146">
        <v>0.7</v>
      </c>
      <c r="J59" s="147">
        <f t="shared" si="6"/>
        <v>0</v>
      </c>
      <c r="K59" s="148">
        <f t="shared" si="7"/>
        <v>0</v>
      </c>
    </row>
    <row r="60" spans="2:11" ht="15">
      <c r="B60" s="167" t="s">
        <v>470</v>
      </c>
      <c r="C60" s="168" t="s">
        <v>471</v>
      </c>
      <c r="D60" s="168" t="s">
        <v>450</v>
      </c>
      <c r="E60" s="168">
        <v>1</v>
      </c>
      <c r="F60" s="169">
        <f aca="true" t="shared" si="8" ref="F60:F65">+F39</f>
        <v>0</v>
      </c>
      <c r="G60" s="168">
        <v>0.798</v>
      </c>
      <c r="H60" s="170">
        <f t="shared" si="5"/>
        <v>0</v>
      </c>
      <c r="I60" s="168">
        <v>4</v>
      </c>
      <c r="J60" s="171">
        <f t="shared" si="6"/>
        <v>0</v>
      </c>
      <c r="K60" s="172">
        <f t="shared" si="7"/>
        <v>0</v>
      </c>
    </row>
    <row r="61" spans="2:11" ht="15">
      <c r="B61" s="144" t="s">
        <v>472</v>
      </c>
      <c r="C61" s="132" t="s">
        <v>471</v>
      </c>
      <c r="D61" s="132" t="s">
        <v>473</v>
      </c>
      <c r="E61" s="132">
        <v>1</v>
      </c>
      <c r="F61" s="169">
        <f t="shared" si="8"/>
        <v>0</v>
      </c>
      <c r="G61" s="132">
        <v>0.798</v>
      </c>
      <c r="H61" s="146">
        <f t="shared" si="5"/>
        <v>0</v>
      </c>
      <c r="I61" s="146">
        <v>2.7</v>
      </c>
      <c r="J61" s="147">
        <f t="shared" si="6"/>
        <v>0</v>
      </c>
      <c r="K61" s="148">
        <f t="shared" si="7"/>
        <v>0</v>
      </c>
    </row>
    <row r="62" spans="2:11" ht="15">
      <c r="B62" s="144" t="s">
        <v>474</v>
      </c>
      <c r="C62" s="132" t="s">
        <v>471</v>
      </c>
      <c r="D62" s="132" t="s">
        <v>475</v>
      </c>
      <c r="E62" s="132">
        <v>1</v>
      </c>
      <c r="F62" s="169">
        <f t="shared" si="8"/>
        <v>0</v>
      </c>
      <c r="G62" s="132">
        <v>0.798</v>
      </c>
      <c r="H62" s="146">
        <f t="shared" si="5"/>
        <v>0</v>
      </c>
      <c r="I62" s="146">
        <v>1.6</v>
      </c>
      <c r="J62" s="147">
        <f t="shared" si="6"/>
        <v>0</v>
      </c>
      <c r="K62" s="148">
        <f t="shared" si="7"/>
        <v>0</v>
      </c>
    </row>
    <row r="63" spans="2:11" ht="15">
      <c r="B63" s="144" t="s">
        <v>476</v>
      </c>
      <c r="C63" s="132" t="s">
        <v>447</v>
      </c>
      <c r="D63" s="132" t="s">
        <v>450</v>
      </c>
      <c r="E63" s="132">
        <v>1</v>
      </c>
      <c r="F63" s="169">
        <f t="shared" si="8"/>
        <v>0</v>
      </c>
      <c r="G63" s="132">
        <v>0.798</v>
      </c>
      <c r="H63" s="146">
        <f t="shared" si="5"/>
        <v>0</v>
      </c>
      <c r="I63" s="146">
        <v>2.2</v>
      </c>
      <c r="J63" s="147">
        <f t="shared" si="6"/>
        <v>0</v>
      </c>
      <c r="K63" s="148">
        <f t="shared" si="7"/>
        <v>0</v>
      </c>
    </row>
    <row r="64" spans="2:11" ht="15">
      <c r="B64" s="144" t="s">
        <v>477</v>
      </c>
      <c r="C64" s="132" t="s">
        <v>447</v>
      </c>
      <c r="D64" s="132" t="s">
        <v>473</v>
      </c>
      <c r="E64" s="132">
        <v>1</v>
      </c>
      <c r="F64" s="169">
        <f t="shared" si="8"/>
        <v>0</v>
      </c>
      <c r="G64" s="132">
        <v>0.798</v>
      </c>
      <c r="H64" s="146">
        <f t="shared" si="5"/>
        <v>0</v>
      </c>
      <c r="I64" s="146">
        <v>1.5</v>
      </c>
      <c r="J64" s="147">
        <f t="shared" si="6"/>
        <v>0</v>
      </c>
      <c r="K64" s="148">
        <f t="shared" si="7"/>
        <v>0</v>
      </c>
    </row>
    <row r="65" spans="2:11" ht="15.75" thickBot="1">
      <c r="B65" s="144" t="s">
        <v>478</v>
      </c>
      <c r="C65" s="132" t="s">
        <v>447</v>
      </c>
      <c r="D65" s="132" t="s">
        <v>475</v>
      </c>
      <c r="E65" s="132">
        <v>1</v>
      </c>
      <c r="F65" s="169">
        <f t="shared" si="8"/>
        <v>0</v>
      </c>
      <c r="G65" s="132">
        <v>0.798</v>
      </c>
      <c r="H65" s="146">
        <f t="shared" si="5"/>
        <v>0</v>
      </c>
      <c r="I65" s="146">
        <v>0.9</v>
      </c>
      <c r="J65" s="147">
        <f t="shared" si="6"/>
        <v>0</v>
      </c>
      <c r="K65" s="148">
        <f t="shared" si="7"/>
        <v>0</v>
      </c>
    </row>
    <row r="66" spans="2:11" ht="15.75" thickTop="1">
      <c r="B66" s="149"/>
      <c r="C66" s="150"/>
      <c r="D66" s="150"/>
      <c r="E66" s="150"/>
      <c r="F66" s="150"/>
      <c r="G66" s="150"/>
      <c r="H66" s="150"/>
      <c r="I66" s="151" t="s">
        <v>479</v>
      </c>
      <c r="J66" s="152">
        <f>SUM(J54:J65)</f>
        <v>0</v>
      </c>
      <c r="K66" s="143">
        <f t="shared" si="7"/>
        <v>0</v>
      </c>
    </row>
    <row r="67" spans="2:11" ht="15">
      <c r="B67" s="153"/>
      <c r="C67" s="154"/>
      <c r="D67" s="154"/>
      <c r="E67" s="154"/>
      <c r="F67" s="154"/>
      <c r="G67" s="154"/>
      <c r="H67" s="155"/>
      <c r="I67" s="156"/>
      <c r="J67" s="157"/>
      <c r="K67" s="148"/>
    </row>
    <row r="68" spans="2:11" ht="15.75" thickBot="1">
      <c r="B68" s="158"/>
      <c r="C68" s="159"/>
      <c r="D68" s="159"/>
      <c r="E68" s="159"/>
      <c r="F68" s="159"/>
      <c r="G68" s="159"/>
      <c r="H68" s="160"/>
      <c r="I68" s="161" t="s">
        <v>480</v>
      </c>
      <c r="J68" s="162">
        <f>J66*(44/12)</f>
        <v>0</v>
      </c>
      <c r="K68" s="163">
        <f>J68/2000</f>
        <v>0</v>
      </c>
    </row>
    <row r="69" ht="15.75" thickTop="1"/>
    <row r="70" spans="2:11" ht="15.75" thickBot="1">
      <c r="B70" s="217" t="s">
        <v>482</v>
      </c>
      <c r="C70" s="217"/>
      <c r="D70" s="217"/>
      <c r="E70" s="217"/>
      <c r="F70" s="217"/>
      <c r="G70" s="217"/>
      <c r="H70"/>
      <c r="I70"/>
      <c r="J70"/>
      <c r="K70"/>
    </row>
    <row r="71" spans="2:11" ht="15.75" thickBot="1">
      <c r="B71"/>
      <c r="C71"/>
      <c r="D71"/>
      <c r="E71"/>
      <c r="F71"/>
      <c r="G71"/>
      <c r="H71"/>
      <c r="I71"/>
      <c r="J71"/>
      <c r="K71"/>
    </row>
    <row r="72" spans="2:11" ht="15.75" thickTop="1">
      <c r="B72" s="127" t="s">
        <v>445</v>
      </c>
      <c r="C72" s="128"/>
      <c r="D72" s="128"/>
      <c r="E72" s="129" t="s">
        <v>446</v>
      </c>
      <c r="F72" s="129" t="s">
        <v>447</v>
      </c>
      <c r="G72" s="129" t="s">
        <v>448</v>
      </c>
      <c r="H72" s="129" t="s">
        <v>449</v>
      </c>
      <c r="I72" s="129" t="s">
        <v>450</v>
      </c>
      <c r="J72" s="128" t="s">
        <v>451</v>
      </c>
      <c r="K72" s="173"/>
    </row>
    <row r="73" spans="2:11" ht="15">
      <c r="B73" s="130" t="s">
        <v>452</v>
      </c>
      <c r="C73" s="131" t="s">
        <v>453</v>
      </c>
      <c r="D73" s="131" t="s">
        <v>454</v>
      </c>
      <c r="E73" s="132" t="s">
        <v>455</v>
      </c>
      <c r="F73" s="132" t="s">
        <v>456</v>
      </c>
      <c r="G73" s="132" t="s">
        <v>457</v>
      </c>
      <c r="H73" s="132" t="s">
        <v>458</v>
      </c>
      <c r="I73" s="132" t="s">
        <v>459</v>
      </c>
      <c r="J73" s="133" t="s">
        <v>460</v>
      </c>
      <c r="K73" s="134"/>
    </row>
    <row r="74" spans="2:11" ht="15.75" thickBot="1">
      <c r="B74" s="135"/>
      <c r="C74" s="136" t="s">
        <v>461</v>
      </c>
      <c r="D74" s="136" t="s">
        <v>462</v>
      </c>
      <c r="E74" s="136" t="s">
        <v>463</v>
      </c>
      <c r="F74" s="136" t="s">
        <v>464</v>
      </c>
      <c r="G74" s="132" t="s">
        <v>465</v>
      </c>
      <c r="H74" s="132" t="s">
        <v>466</v>
      </c>
      <c r="I74" s="132" t="s">
        <v>467</v>
      </c>
      <c r="J74" s="137" t="s">
        <v>468</v>
      </c>
      <c r="K74" s="138" t="s">
        <v>469</v>
      </c>
    </row>
    <row r="75" spans="2:11" ht="15.75" thickTop="1">
      <c r="B75" s="139" t="s">
        <v>470</v>
      </c>
      <c r="C75" s="129" t="s">
        <v>471</v>
      </c>
      <c r="D75" s="129" t="s">
        <v>450</v>
      </c>
      <c r="E75" s="129">
        <v>0</v>
      </c>
      <c r="F75" s="140">
        <f>+C18</f>
        <v>0</v>
      </c>
      <c r="G75" s="129">
        <v>0.873</v>
      </c>
      <c r="H75" s="141">
        <f aca="true" t="shared" si="9" ref="H75:H92">F75*G75</f>
        <v>0</v>
      </c>
      <c r="I75" s="129">
        <v>2.7</v>
      </c>
      <c r="J75" s="142">
        <f aca="true" t="shared" si="10" ref="J75:J92">H75*I75</f>
        <v>0</v>
      </c>
      <c r="K75" s="143">
        <f aca="true" t="shared" si="11" ref="K75:K93">J75/2000</f>
        <v>0</v>
      </c>
    </row>
    <row r="76" spans="2:11" ht="15">
      <c r="B76" s="144" t="s">
        <v>472</v>
      </c>
      <c r="C76" s="132" t="s">
        <v>471</v>
      </c>
      <c r="D76" s="132" t="s">
        <v>473</v>
      </c>
      <c r="E76" s="132">
        <v>0</v>
      </c>
      <c r="F76" s="145">
        <f>+D18</f>
        <v>0</v>
      </c>
      <c r="G76" s="132">
        <v>0.873</v>
      </c>
      <c r="H76" s="146">
        <f t="shared" si="9"/>
        <v>0</v>
      </c>
      <c r="I76" s="146">
        <v>1.9</v>
      </c>
      <c r="J76" s="147">
        <f t="shared" si="10"/>
        <v>0</v>
      </c>
      <c r="K76" s="148">
        <f t="shared" si="11"/>
        <v>0</v>
      </c>
    </row>
    <row r="77" spans="2:11" ht="15">
      <c r="B77" s="144" t="s">
        <v>474</v>
      </c>
      <c r="C77" s="132" t="s">
        <v>471</v>
      </c>
      <c r="D77" s="132" t="s">
        <v>475</v>
      </c>
      <c r="E77" s="132">
        <v>0</v>
      </c>
      <c r="F77" s="145">
        <f>+E18</f>
        <v>0</v>
      </c>
      <c r="G77" s="132">
        <v>0.873</v>
      </c>
      <c r="H77" s="146">
        <f t="shared" si="9"/>
        <v>0</v>
      </c>
      <c r="I77" s="146">
        <v>1.3</v>
      </c>
      <c r="J77" s="147">
        <f t="shared" si="10"/>
        <v>0</v>
      </c>
      <c r="K77" s="148">
        <f t="shared" si="11"/>
        <v>0</v>
      </c>
    </row>
    <row r="78" spans="2:11" ht="15">
      <c r="B78" s="144" t="s">
        <v>476</v>
      </c>
      <c r="C78" s="132" t="s">
        <v>447</v>
      </c>
      <c r="D78" s="132" t="s">
        <v>450</v>
      </c>
      <c r="E78" s="132">
        <v>0</v>
      </c>
      <c r="F78" s="145">
        <f>+F18</f>
        <v>0</v>
      </c>
      <c r="G78" s="132">
        <v>0.873</v>
      </c>
      <c r="H78" s="146">
        <f t="shared" si="9"/>
        <v>0</v>
      </c>
      <c r="I78" s="146">
        <v>1.4</v>
      </c>
      <c r="J78" s="147">
        <f t="shared" si="10"/>
        <v>0</v>
      </c>
      <c r="K78" s="148">
        <f t="shared" si="11"/>
        <v>0</v>
      </c>
    </row>
    <row r="79" spans="2:11" ht="15">
      <c r="B79" s="144" t="s">
        <v>477</v>
      </c>
      <c r="C79" s="132" t="s">
        <v>447</v>
      </c>
      <c r="D79" s="132" t="s">
        <v>473</v>
      </c>
      <c r="E79" s="132">
        <v>0</v>
      </c>
      <c r="F79" s="145">
        <f>+G18</f>
        <v>0</v>
      </c>
      <c r="G79" s="132">
        <v>0.873</v>
      </c>
      <c r="H79" s="146">
        <f t="shared" si="9"/>
        <v>0</v>
      </c>
      <c r="I79" s="146">
        <v>1</v>
      </c>
      <c r="J79" s="147">
        <f t="shared" si="10"/>
        <v>0</v>
      </c>
      <c r="K79" s="148">
        <f t="shared" si="11"/>
        <v>0</v>
      </c>
    </row>
    <row r="80" spans="2:11" ht="15">
      <c r="B80" s="144" t="s">
        <v>478</v>
      </c>
      <c r="C80" s="132" t="s">
        <v>447</v>
      </c>
      <c r="D80" s="132" t="s">
        <v>475</v>
      </c>
      <c r="E80" s="132">
        <v>0</v>
      </c>
      <c r="F80" s="145">
        <f>+E18</f>
        <v>0</v>
      </c>
      <c r="G80" s="132">
        <v>0.873</v>
      </c>
      <c r="H80" s="146">
        <f t="shared" si="9"/>
        <v>0</v>
      </c>
      <c r="I80" s="146">
        <v>0.7</v>
      </c>
      <c r="J80" s="147">
        <f t="shared" si="10"/>
        <v>0</v>
      </c>
      <c r="K80" s="148">
        <f t="shared" si="11"/>
        <v>0</v>
      </c>
    </row>
    <row r="81" spans="2:11" ht="15">
      <c r="B81" s="167" t="s">
        <v>470</v>
      </c>
      <c r="C81" s="168" t="s">
        <v>471</v>
      </c>
      <c r="D81" s="168" t="s">
        <v>450</v>
      </c>
      <c r="E81" s="168">
        <v>1</v>
      </c>
      <c r="F81" s="169">
        <f aca="true" t="shared" si="12" ref="F81:F92">+F54</f>
        <v>0</v>
      </c>
      <c r="G81" s="168">
        <v>0.798</v>
      </c>
      <c r="H81" s="170">
        <f t="shared" si="9"/>
        <v>0</v>
      </c>
      <c r="I81" s="168">
        <v>4</v>
      </c>
      <c r="J81" s="171">
        <f t="shared" si="10"/>
        <v>0</v>
      </c>
      <c r="K81" s="172">
        <f t="shared" si="11"/>
        <v>0</v>
      </c>
    </row>
    <row r="82" spans="2:11" ht="15">
      <c r="B82" s="144" t="s">
        <v>472</v>
      </c>
      <c r="C82" s="132" t="s">
        <v>471</v>
      </c>
      <c r="D82" s="132" t="s">
        <v>473</v>
      </c>
      <c r="E82" s="132">
        <v>1</v>
      </c>
      <c r="F82" s="169">
        <f t="shared" si="12"/>
        <v>0</v>
      </c>
      <c r="G82" s="132">
        <v>0.798</v>
      </c>
      <c r="H82" s="146">
        <f t="shared" si="9"/>
        <v>0</v>
      </c>
      <c r="I82" s="146">
        <v>2.7</v>
      </c>
      <c r="J82" s="147">
        <f t="shared" si="10"/>
        <v>0</v>
      </c>
      <c r="K82" s="148">
        <f t="shared" si="11"/>
        <v>0</v>
      </c>
    </row>
    <row r="83" spans="2:11" ht="15">
      <c r="B83" s="144" t="s">
        <v>474</v>
      </c>
      <c r="C83" s="132" t="s">
        <v>471</v>
      </c>
      <c r="D83" s="132" t="s">
        <v>475</v>
      </c>
      <c r="E83" s="132">
        <v>1</v>
      </c>
      <c r="F83" s="169">
        <f t="shared" si="12"/>
        <v>0</v>
      </c>
      <c r="G83" s="132">
        <v>0.798</v>
      </c>
      <c r="H83" s="146">
        <f t="shared" si="9"/>
        <v>0</v>
      </c>
      <c r="I83" s="146">
        <v>1.6</v>
      </c>
      <c r="J83" s="147">
        <f t="shared" si="10"/>
        <v>0</v>
      </c>
      <c r="K83" s="148">
        <f t="shared" si="11"/>
        <v>0</v>
      </c>
    </row>
    <row r="84" spans="2:11" ht="15">
      <c r="B84" s="144" t="s">
        <v>476</v>
      </c>
      <c r="C84" s="132" t="s">
        <v>447</v>
      </c>
      <c r="D84" s="132" t="s">
        <v>450</v>
      </c>
      <c r="E84" s="132">
        <v>1</v>
      </c>
      <c r="F84" s="169">
        <f t="shared" si="12"/>
        <v>0</v>
      </c>
      <c r="G84" s="132">
        <v>0.798</v>
      </c>
      <c r="H84" s="146">
        <f t="shared" si="9"/>
        <v>0</v>
      </c>
      <c r="I84" s="146">
        <v>2.2</v>
      </c>
      <c r="J84" s="147">
        <f t="shared" si="10"/>
        <v>0</v>
      </c>
      <c r="K84" s="148">
        <f t="shared" si="11"/>
        <v>0</v>
      </c>
    </row>
    <row r="85" spans="2:11" ht="15">
      <c r="B85" s="144" t="s">
        <v>477</v>
      </c>
      <c r="C85" s="132" t="s">
        <v>447</v>
      </c>
      <c r="D85" s="132" t="s">
        <v>473</v>
      </c>
      <c r="E85" s="132">
        <v>1</v>
      </c>
      <c r="F85" s="169">
        <f t="shared" si="12"/>
        <v>0</v>
      </c>
      <c r="G85" s="132">
        <v>0.798</v>
      </c>
      <c r="H85" s="146">
        <f t="shared" si="9"/>
        <v>0</v>
      </c>
      <c r="I85" s="146">
        <v>1.5</v>
      </c>
      <c r="J85" s="147">
        <f t="shared" si="10"/>
        <v>0</v>
      </c>
      <c r="K85" s="148">
        <f t="shared" si="11"/>
        <v>0</v>
      </c>
    </row>
    <row r="86" spans="2:11" ht="15">
      <c r="B86" s="144" t="s">
        <v>478</v>
      </c>
      <c r="C86" s="132" t="s">
        <v>447</v>
      </c>
      <c r="D86" s="132" t="s">
        <v>475</v>
      </c>
      <c r="E86" s="132">
        <v>1</v>
      </c>
      <c r="F86" s="169">
        <f t="shared" si="12"/>
        <v>0</v>
      </c>
      <c r="G86" s="132">
        <v>0.798</v>
      </c>
      <c r="H86" s="146">
        <f t="shared" si="9"/>
        <v>0</v>
      </c>
      <c r="I86" s="146">
        <v>0.9</v>
      </c>
      <c r="J86" s="147">
        <f t="shared" si="10"/>
        <v>0</v>
      </c>
      <c r="K86" s="148">
        <f t="shared" si="11"/>
        <v>0</v>
      </c>
    </row>
    <row r="87" spans="2:11" ht="15">
      <c r="B87" s="167" t="s">
        <v>470</v>
      </c>
      <c r="C87" s="168" t="s">
        <v>471</v>
      </c>
      <c r="D87" s="168" t="s">
        <v>450</v>
      </c>
      <c r="E87" s="168">
        <v>2</v>
      </c>
      <c r="F87" s="169">
        <f t="shared" si="12"/>
        <v>0</v>
      </c>
      <c r="G87" s="168">
        <v>0.736</v>
      </c>
      <c r="H87" s="170">
        <f t="shared" si="9"/>
        <v>0</v>
      </c>
      <c r="I87" s="168">
        <v>5.4</v>
      </c>
      <c r="J87" s="171">
        <f t="shared" si="10"/>
        <v>0</v>
      </c>
      <c r="K87" s="172">
        <f t="shared" si="11"/>
        <v>0</v>
      </c>
    </row>
    <row r="88" spans="2:11" ht="15">
      <c r="B88" s="144" t="s">
        <v>472</v>
      </c>
      <c r="C88" s="132" t="s">
        <v>471</v>
      </c>
      <c r="D88" s="132" t="s">
        <v>473</v>
      </c>
      <c r="E88" s="132">
        <v>2</v>
      </c>
      <c r="F88" s="169">
        <f t="shared" si="12"/>
        <v>0</v>
      </c>
      <c r="G88" s="132">
        <v>0.736</v>
      </c>
      <c r="H88" s="146">
        <f t="shared" si="9"/>
        <v>0</v>
      </c>
      <c r="I88" s="146">
        <v>3.5</v>
      </c>
      <c r="J88" s="147">
        <f t="shared" si="10"/>
        <v>0</v>
      </c>
      <c r="K88" s="148">
        <f t="shared" si="11"/>
        <v>0</v>
      </c>
    </row>
    <row r="89" spans="2:11" ht="15">
      <c r="B89" s="144" t="s">
        <v>474</v>
      </c>
      <c r="C89" s="132" t="s">
        <v>471</v>
      </c>
      <c r="D89" s="132" t="s">
        <v>475</v>
      </c>
      <c r="E89" s="132">
        <v>2</v>
      </c>
      <c r="F89" s="169">
        <f t="shared" si="12"/>
        <v>0</v>
      </c>
      <c r="G89" s="132">
        <v>0.736</v>
      </c>
      <c r="H89" s="146">
        <f t="shared" si="9"/>
        <v>0</v>
      </c>
      <c r="I89" s="146">
        <v>2</v>
      </c>
      <c r="J89" s="147">
        <f t="shared" si="10"/>
        <v>0</v>
      </c>
      <c r="K89" s="148">
        <f t="shared" si="11"/>
        <v>0</v>
      </c>
    </row>
    <row r="90" spans="2:11" ht="15">
      <c r="B90" s="144" t="s">
        <v>476</v>
      </c>
      <c r="C90" s="132" t="s">
        <v>447</v>
      </c>
      <c r="D90" s="132" t="s">
        <v>450</v>
      </c>
      <c r="E90" s="132">
        <v>2</v>
      </c>
      <c r="F90" s="169">
        <f t="shared" si="12"/>
        <v>0</v>
      </c>
      <c r="G90" s="132">
        <v>0.736</v>
      </c>
      <c r="H90" s="146">
        <f t="shared" si="9"/>
        <v>0</v>
      </c>
      <c r="I90" s="146">
        <v>3.1</v>
      </c>
      <c r="J90" s="147">
        <f t="shared" si="10"/>
        <v>0</v>
      </c>
      <c r="K90" s="148">
        <f t="shared" si="11"/>
        <v>0</v>
      </c>
    </row>
    <row r="91" spans="2:11" ht="15">
      <c r="B91" s="144" t="s">
        <v>477</v>
      </c>
      <c r="C91" s="132" t="s">
        <v>447</v>
      </c>
      <c r="D91" s="132" t="s">
        <v>473</v>
      </c>
      <c r="E91" s="132">
        <v>2</v>
      </c>
      <c r="F91" s="169">
        <f t="shared" si="12"/>
        <v>0</v>
      </c>
      <c r="G91" s="132">
        <v>0.736</v>
      </c>
      <c r="H91" s="146">
        <f t="shared" si="9"/>
        <v>0</v>
      </c>
      <c r="I91" s="146">
        <v>2</v>
      </c>
      <c r="J91" s="147">
        <f t="shared" si="10"/>
        <v>0</v>
      </c>
      <c r="K91" s="148">
        <f t="shared" si="11"/>
        <v>0</v>
      </c>
    </row>
    <row r="92" spans="2:11" ht="15.75" thickBot="1">
      <c r="B92" s="144" t="s">
        <v>478</v>
      </c>
      <c r="C92" s="132" t="s">
        <v>447</v>
      </c>
      <c r="D92" s="132" t="s">
        <v>475</v>
      </c>
      <c r="E92" s="132">
        <v>2</v>
      </c>
      <c r="F92" s="169">
        <f t="shared" si="12"/>
        <v>0</v>
      </c>
      <c r="G92" s="132">
        <v>0.736</v>
      </c>
      <c r="H92" s="146">
        <f t="shared" si="9"/>
        <v>0</v>
      </c>
      <c r="I92" s="146">
        <v>1.1</v>
      </c>
      <c r="J92" s="147">
        <f t="shared" si="10"/>
        <v>0</v>
      </c>
      <c r="K92" s="148">
        <f t="shared" si="11"/>
        <v>0</v>
      </c>
    </row>
    <row r="93" spans="2:11" ht="15.75" thickTop="1">
      <c r="B93" s="149"/>
      <c r="C93" s="150"/>
      <c r="D93" s="150"/>
      <c r="E93" s="150"/>
      <c r="F93" s="150"/>
      <c r="G93" s="150"/>
      <c r="H93" s="150"/>
      <c r="I93" s="151" t="s">
        <v>479</v>
      </c>
      <c r="J93" s="152">
        <f>SUM(J75:J92)</f>
        <v>0</v>
      </c>
      <c r="K93" s="143">
        <f t="shared" si="11"/>
        <v>0</v>
      </c>
    </row>
    <row r="94" spans="2:11" ht="15">
      <c r="B94" s="153"/>
      <c r="C94" s="154"/>
      <c r="D94" s="154"/>
      <c r="E94" s="154"/>
      <c r="F94" s="154"/>
      <c r="G94" s="154"/>
      <c r="H94" s="155"/>
      <c r="I94" s="156"/>
      <c r="J94" s="157"/>
      <c r="K94" s="148"/>
    </row>
    <row r="95" spans="2:11" ht="15.75" thickBot="1">
      <c r="B95" s="158"/>
      <c r="C95" s="159"/>
      <c r="D95" s="159"/>
      <c r="E95" s="159"/>
      <c r="F95" s="159"/>
      <c r="G95" s="159"/>
      <c r="H95" s="160"/>
      <c r="I95" s="161" t="s">
        <v>480</v>
      </c>
      <c r="J95" s="162">
        <f>J93*(44/12)</f>
        <v>0</v>
      </c>
      <c r="K95" s="163">
        <f>J95/2000</f>
        <v>0</v>
      </c>
    </row>
    <row r="96" ht="15.75" thickTop="1"/>
    <row r="97" spans="2:11" ht="15.75" thickBot="1">
      <c r="B97" s="217" t="s">
        <v>483</v>
      </c>
      <c r="C97" s="217"/>
      <c r="D97" s="217"/>
      <c r="E97" s="217"/>
      <c r="F97" s="217"/>
      <c r="G97" s="217"/>
      <c r="H97"/>
      <c r="I97"/>
      <c r="J97"/>
      <c r="K97"/>
    </row>
    <row r="98" spans="2:11" ht="15.75" thickBot="1">
      <c r="B98"/>
      <c r="C98"/>
      <c r="D98"/>
      <c r="E98"/>
      <c r="F98"/>
      <c r="G98"/>
      <c r="H98"/>
      <c r="I98"/>
      <c r="J98"/>
      <c r="K98"/>
    </row>
    <row r="99" spans="2:11" ht="15.75" thickTop="1">
      <c r="B99" s="127" t="s">
        <v>445</v>
      </c>
      <c r="C99" s="128"/>
      <c r="D99" s="128"/>
      <c r="E99" s="129" t="s">
        <v>446</v>
      </c>
      <c r="F99" s="129" t="s">
        <v>447</v>
      </c>
      <c r="G99" s="129" t="s">
        <v>448</v>
      </c>
      <c r="H99" s="129" t="s">
        <v>449</v>
      </c>
      <c r="I99" s="129" t="s">
        <v>450</v>
      </c>
      <c r="J99" s="128" t="s">
        <v>451</v>
      </c>
      <c r="K99" s="173"/>
    </row>
    <row r="100" spans="2:11" ht="15">
      <c r="B100" s="130" t="s">
        <v>452</v>
      </c>
      <c r="C100" s="131" t="s">
        <v>453</v>
      </c>
      <c r="D100" s="131" t="s">
        <v>454</v>
      </c>
      <c r="E100" s="132" t="s">
        <v>455</v>
      </c>
      <c r="F100" s="132" t="s">
        <v>456</v>
      </c>
      <c r="G100" s="132" t="s">
        <v>457</v>
      </c>
      <c r="H100" s="132" t="s">
        <v>458</v>
      </c>
      <c r="I100" s="132" t="s">
        <v>459</v>
      </c>
      <c r="J100" s="133" t="s">
        <v>460</v>
      </c>
      <c r="K100" s="134"/>
    </row>
    <row r="101" spans="2:11" ht="15.75" thickBot="1">
      <c r="B101" s="135"/>
      <c r="C101" s="136" t="s">
        <v>461</v>
      </c>
      <c r="D101" s="136" t="s">
        <v>462</v>
      </c>
      <c r="E101" s="136" t="s">
        <v>463</v>
      </c>
      <c r="F101" s="136" t="s">
        <v>464</v>
      </c>
      <c r="G101" s="132" t="s">
        <v>465</v>
      </c>
      <c r="H101" s="132" t="s">
        <v>466</v>
      </c>
      <c r="I101" s="132" t="s">
        <v>467</v>
      </c>
      <c r="J101" s="137" t="s">
        <v>468</v>
      </c>
      <c r="K101" s="138" t="s">
        <v>469</v>
      </c>
    </row>
    <row r="102" spans="2:11" ht="15.75" thickTop="1">
      <c r="B102" s="139" t="s">
        <v>470</v>
      </c>
      <c r="C102" s="129" t="s">
        <v>471</v>
      </c>
      <c r="D102" s="129" t="s">
        <v>450</v>
      </c>
      <c r="E102" s="129">
        <v>0</v>
      </c>
      <c r="F102" s="140">
        <f>+C19</f>
        <v>0</v>
      </c>
      <c r="G102" s="129">
        <v>0.873</v>
      </c>
      <c r="H102" s="141">
        <f aca="true" t="shared" si="13" ref="H102:H125">F102*G102</f>
        <v>0</v>
      </c>
      <c r="I102" s="129">
        <v>2.7</v>
      </c>
      <c r="J102" s="142">
        <f aca="true" t="shared" si="14" ref="J102:J125">H102*I102</f>
        <v>0</v>
      </c>
      <c r="K102" s="143">
        <f aca="true" t="shared" si="15" ref="K102:K126">J102/2000</f>
        <v>0</v>
      </c>
    </row>
    <row r="103" spans="2:11" ht="15">
      <c r="B103" s="144" t="s">
        <v>472</v>
      </c>
      <c r="C103" s="132" t="s">
        <v>471</v>
      </c>
      <c r="D103" s="132" t="s">
        <v>473</v>
      </c>
      <c r="E103" s="132">
        <v>0</v>
      </c>
      <c r="F103" s="145">
        <f>+D19</f>
        <v>0</v>
      </c>
      <c r="G103" s="132">
        <v>0.873</v>
      </c>
      <c r="H103" s="146">
        <f t="shared" si="13"/>
        <v>0</v>
      </c>
      <c r="I103" s="146">
        <v>1.9</v>
      </c>
      <c r="J103" s="147">
        <f t="shared" si="14"/>
        <v>0</v>
      </c>
      <c r="K103" s="148">
        <f t="shared" si="15"/>
        <v>0</v>
      </c>
    </row>
    <row r="104" spans="2:11" ht="15">
      <c r="B104" s="144" t="s">
        <v>474</v>
      </c>
      <c r="C104" s="132" t="s">
        <v>471</v>
      </c>
      <c r="D104" s="132" t="s">
        <v>475</v>
      </c>
      <c r="E104" s="132">
        <v>0</v>
      </c>
      <c r="F104" s="145">
        <f>+E19</f>
        <v>0</v>
      </c>
      <c r="G104" s="132">
        <v>0.873</v>
      </c>
      <c r="H104" s="146">
        <f t="shared" si="13"/>
        <v>0</v>
      </c>
      <c r="I104" s="146">
        <v>1.3</v>
      </c>
      <c r="J104" s="147">
        <f t="shared" si="14"/>
        <v>0</v>
      </c>
      <c r="K104" s="148">
        <f t="shared" si="15"/>
        <v>0</v>
      </c>
    </row>
    <row r="105" spans="2:11" ht="15">
      <c r="B105" s="144" t="s">
        <v>476</v>
      </c>
      <c r="C105" s="132" t="s">
        <v>447</v>
      </c>
      <c r="D105" s="132" t="s">
        <v>450</v>
      </c>
      <c r="E105" s="132">
        <v>0</v>
      </c>
      <c r="F105" s="145">
        <f>+F19</f>
        <v>0</v>
      </c>
      <c r="G105" s="132">
        <v>0.873</v>
      </c>
      <c r="H105" s="146">
        <f t="shared" si="13"/>
        <v>0</v>
      </c>
      <c r="I105" s="146">
        <v>1.4</v>
      </c>
      <c r="J105" s="147">
        <f t="shared" si="14"/>
        <v>0</v>
      </c>
      <c r="K105" s="148">
        <f t="shared" si="15"/>
        <v>0</v>
      </c>
    </row>
    <row r="106" spans="2:11" ht="15">
      <c r="B106" s="144" t="s">
        <v>477</v>
      </c>
      <c r="C106" s="132" t="s">
        <v>447</v>
      </c>
      <c r="D106" s="132" t="s">
        <v>473</v>
      </c>
      <c r="E106" s="132">
        <v>0</v>
      </c>
      <c r="F106" s="145">
        <f>+G19</f>
        <v>0</v>
      </c>
      <c r="G106" s="132">
        <v>0.873</v>
      </c>
      <c r="H106" s="146">
        <f t="shared" si="13"/>
        <v>0</v>
      </c>
      <c r="I106" s="146">
        <v>1</v>
      </c>
      <c r="J106" s="147">
        <f t="shared" si="14"/>
        <v>0</v>
      </c>
      <c r="K106" s="148">
        <f t="shared" si="15"/>
        <v>0</v>
      </c>
    </row>
    <row r="107" spans="2:11" ht="15">
      <c r="B107" s="144" t="s">
        <v>478</v>
      </c>
      <c r="C107" s="132" t="s">
        <v>447</v>
      </c>
      <c r="D107" s="132" t="s">
        <v>475</v>
      </c>
      <c r="E107" s="132">
        <v>0</v>
      </c>
      <c r="F107" s="145">
        <f>+H19</f>
        <v>0</v>
      </c>
      <c r="G107" s="132">
        <v>0.873</v>
      </c>
      <c r="H107" s="146">
        <f t="shared" si="13"/>
        <v>0</v>
      </c>
      <c r="I107" s="146">
        <v>0.7</v>
      </c>
      <c r="J107" s="147">
        <f t="shared" si="14"/>
        <v>0</v>
      </c>
      <c r="K107" s="148">
        <f t="shared" si="15"/>
        <v>0</v>
      </c>
    </row>
    <row r="108" spans="2:11" ht="15">
      <c r="B108" s="167" t="s">
        <v>470</v>
      </c>
      <c r="C108" s="168" t="s">
        <v>471</v>
      </c>
      <c r="D108" s="168" t="s">
        <v>450</v>
      </c>
      <c r="E108" s="168">
        <v>1</v>
      </c>
      <c r="F108" s="169">
        <f>+F75</f>
        <v>0</v>
      </c>
      <c r="G108" s="168">
        <v>0.798</v>
      </c>
      <c r="H108" s="170">
        <f t="shared" si="13"/>
        <v>0</v>
      </c>
      <c r="I108" s="168">
        <v>4</v>
      </c>
      <c r="J108" s="171">
        <f t="shared" si="14"/>
        <v>0</v>
      </c>
      <c r="K108" s="172">
        <f t="shared" si="15"/>
        <v>0</v>
      </c>
    </row>
    <row r="109" spans="2:11" ht="15">
      <c r="B109" s="144" t="s">
        <v>472</v>
      </c>
      <c r="C109" s="132" t="s">
        <v>471</v>
      </c>
      <c r="D109" s="132" t="s">
        <v>473</v>
      </c>
      <c r="E109" s="132">
        <v>1</v>
      </c>
      <c r="F109" s="169">
        <f aca="true" t="shared" si="16" ref="F109:F125">+F76</f>
        <v>0</v>
      </c>
      <c r="G109" s="132">
        <v>0.798</v>
      </c>
      <c r="H109" s="146">
        <f t="shared" si="13"/>
        <v>0</v>
      </c>
      <c r="I109" s="146">
        <v>2.7</v>
      </c>
      <c r="J109" s="147">
        <f t="shared" si="14"/>
        <v>0</v>
      </c>
      <c r="K109" s="148">
        <f t="shared" si="15"/>
        <v>0</v>
      </c>
    </row>
    <row r="110" spans="2:11" ht="15">
      <c r="B110" s="144" t="s">
        <v>474</v>
      </c>
      <c r="C110" s="132" t="s">
        <v>471</v>
      </c>
      <c r="D110" s="132" t="s">
        <v>475</v>
      </c>
      <c r="E110" s="132">
        <v>1</v>
      </c>
      <c r="F110" s="169">
        <f t="shared" si="16"/>
        <v>0</v>
      </c>
      <c r="G110" s="132">
        <v>0.798</v>
      </c>
      <c r="H110" s="146">
        <f t="shared" si="13"/>
        <v>0</v>
      </c>
      <c r="I110" s="146">
        <v>1.6</v>
      </c>
      <c r="J110" s="147">
        <f t="shared" si="14"/>
        <v>0</v>
      </c>
      <c r="K110" s="148">
        <f t="shared" si="15"/>
        <v>0</v>
      </c>
    </row>
    <row r="111" spans="2:11" ht="15">
      <c r="B111" s="144" t="s">
        <v>476</v>
      </c>
      <c r="C111" s="132" t="s">
        <v>447</v>
      </c>
      <c r="D111" s="132" t="s">
        <v>450</v>
      </c>
      <c r="E111" s="132">
        <v>1</v>
      </c>
      <c r="F111" s="169">
        <f t="shared" si="16"/>
        <v>0</v>
      </c>
      <c r="G111" s="132">
        <v>0.798</v>
      </c>
      <c r="H111" s="146">
        <f t="shared" si="13"/>
        <v>0</v>
      </c>
      <c r="I111" s="146">
        <v>2.2</v>
      </c>
      <c r="J111" s="147">
        <f t="shared" si="14"/>
        <v>0</v>
      </c>
      <c r="K111" s="148">
        <f t="shared" si="15"/>
        <v>0</v>
      </c>
    </row>
    <row r="112" spans="2:11" ht="15">
      <c r="B112" s="144" t="s">
        <v>477</v>
      </c>
      <c r="C112" s="132" t="s">
        <v>447</v>
      </c>
      <c r="D112" s="132" t="s">
        <v>473</v>
      </c>
      <c r="E112" s="132">
        <v>1</v>
      </c>
      <c r="F112" s="169">
        <f t="shared" si="16"/>
        <v>0</v>
      </c>
      <c r="G112" s="132">
        <v>0.798</v>
      </c>
      <c r="H112" s="146">
        <f t="shared" si="13"/>
        <v>0</v>
      </c>
      <c r="I112" s="146">
        <v>1.5</v>
      </c>
      <c r="J112" s="147">
        <f t="shared" si="14"/>
        <v>0</v>
      </c>
      <c r="K112" s="148">
        <f t="shared" si="15"/>
        <v>0</v>
      </c>
    </row>
    <row r="113" spans="2:11" ht="15">
      <c r="B113" s="144" t="s">
        <v>478</v>
      </c>
      <c r="C113" s="132" t="s">
        <v>447</v>
      </c>
      <c r="D113" s="132" t="s">
        <v>475</v>
      </c>
      <c r="E113" s="132">
        <v>1</v>
      </c>
      <c r="F113" s="169">
        <f t="shared" si="16"/>
        <v>0</v>
      </c>
      <c r="G113" s="132">
        <v>0.798</v>
      </c>
      <c r="H113" s="146">
        <f t="shared" si="13"/>
        <v>0</v>
      </c>
      <c r="I113" s="146">
        <v>0.9</v>
      </c>
      <c r="J113" s="147">
        <f t="shared" si="14"/>
        <v>0</v>
      </c>
      <c r="K113" s="148">
        <f t="shared" si="15"/>
        <v>0</v>
      </c>
    </row>
    <row r="114" spans="2:11" ht="15">
      <c r="B114" s="167" t="s">
        <v>470</v>
      </c>
      <c r="C114" s="168" t="s">
        <v>471</v>
      </c>
      <c r="D114" s="168" t="s">
        <v>450</v>
      </c>
      <c r="E114" s="168">
        <v>2</v>
      </c>
      <c r="F114" s="169">
        <f t="shared" si="16"/>
        <v>0</v>
      </c>
      <c r="G114" s="168">
        <v>0.736</v>
      </c>
      <c r="H114" s="170">
        <f t="shared" si="13"/>
        <v>0</v>
      </c>
      <c r="I114" s="168">
        <v>5.4</v>
      </c>
      <c r="J114" s="171">
        <f t="shared" si="14"/>
        <v>0</v>
      </c>
      <c r="K114" s="172">
        <f t="shared" si="15"/>
        <v>0</v>
      </c>
    </row>
    <row r="115" spans="2:11" ht="15">
      <c r="B115" s="144" t="s">
        <v>472</v>
      </c>
      <c r="C115" s="132" t="s">
        <v>471</v>
      </c>
      <c r="D115" s="132" t="s">
        <v>473</v>
      </c>
      <c r="E115" s="132">
        <v>2</v>
      </c>
      <c r="F115" s="169">
        <f t="shared" si="16"/>
        <v>0</v>
      </c>
      <c r="G115" s="132">
        <v>0.736</v>
      </c>
      <c r="H115" s="146">
        <f t="shared" si="13"/>
        <v>0</v>
      </c>
      <c r="I115" s="146">
        <v>3.5</v>
      </c>
      <c r="J115" s="147">
        <f t="shared" si="14"/>
        <v>0</v>
      </c>
      <c r="K115" s="148">
        <f t="shared" si="15"/>
        <v>0</v>
      </c>
    </row>
    <row r="116" spans="2:11" ht="15">
      <c r="B116" s="144" t="s">
        <v>474</v>
      </c>
      <c r="C116" s="132" t="s">
        <v>471</v>
      </c>
      <c r="D116" s="132" t="s">
        <v>475</v>
      </c>
      <c r="E116" s="132">
        <v>2</v>
      </c>
      <c r="F116" s="169">
        <f t="shared" si="16"/>
        <v>0</v>
      </c>
      <c r="G116" s="132">
        <v>0.736</v>
      </c>
      <c r="H116" s="146">
        <f t="shared" si="13"/>
        <v>0</v>
      </c>
      <c r="I116" s="146">
        <v>2</v>
      </c>
      <c r="J116" s="147">
        <f t="shared" si="14"/>
        <v>0</v>
      </c>
      <c r="K116" s="148">
        <f t="shared" si="15"/>
        <v>0</v>
      </c>
    </row>
    <row r="117" spans="2:11" ht="15">
      <c r="B117" s="144" t="s">
        <v>476</v>
      </c>
      <c r="C117" s="132" t="s">
        <v>447</v>
      </c>
      <c r="D117" s="132" t="s">
        <v>450</v>
      </c>
      <c r="E117" s="132">
        <v>2</v>
      </c>
      <c r="F117" s="169">
        <f t="shared" si="16"/>
        <v>0</v>
      </c>
      <c r="G117" s="132">
        <v>0.736</v>
      </c>
      <c r="H117" s="146">
        <f t="shared" si="13"/>
        <v>0</v>
      </c>
      <c r="I117" s="146">
        <v>3.1</v>
      </c>
      <c r="J117" s="147">
        <f t="shared" si="14"/>
        <v>0</v>
      </c>
      <c r="K117" s="148">
        <f t="shared" si="15"/>
        <v>0</v>
      </c>
    </row>
    <row r="118" spans="2:11" ht="15">
      <c r="B118" s="144" t="s">
        <v>477</v>
      </c>
      <c r="C118" s="132" t="s">
        <v>447</v>
      </c>
      <c r="D118" s="132" t="s">
        <v>473</v>
      </c>
      <c r="E118" s="132">
        <v>2</v>
      </c>
      <c r="F118" s="169">
        <f t="shared" si="16"/>
        <v>0</v>
      </c>
      <c r="G118" s="132">
        <v>0.736</v>
      </c>
      <c r="H118" s="146">
        <f t="shared" si="13"/>
        <v>0</v>
      </c>
      <c r="I118" s="146">
        <v>2</v>
      </c>
      <c r="J118" s="147">
        <f t="shared" si="14"/>
        <v>0</v>
      </c>
      <c r="K118" s="148">
        <f t="shared" si="15"/>
        <v>0</v>
      </c>
    </row>
    <row r="119" spans="2:11" ht="15">
      <c r="B119" s="144" t="s">
        <v>478</v>
      </c>
      <c r="C119" s="132" t="s">
        <v>447</v>
      </c>
      <c r="D119" s="132" t="s">
        <v>475</v>
      </c>
      <c r="E119" s="132">
        <v>2</v>
      </c>
      <c r="F119" s="169">
        <f t="shared" si="16"/>
        <v>0</v>
      </c>
      <c r="G119" s="132">
        <v>0.736</v>
      </c>
      <c r="H119" s="146">
        <f t="shared" si="13"/>
        <v>0</v>
      </c>
      <c r="I119" s="146">
        <v>1.1</v>
      </c>
      <c r="J119" s="147">
        <f t="shared" si="14"/>
        <v>0</v>
      </c>
      <c r="K119" s="148">
        <f t="shared" si="15"/>
        <v>0</v>
      </c>
    </row>
    <row r="120" spans="2:11" ht="15">
      <c r="B120" s="167" t="s">
        <v>470</v>
      </c>
      <c r="C120" s="168" t="s">
        <v>471</v>
      </c>
      <c r="D120" s="168" t="s">
        <v>450</v>
      </c>
      <c r="E120" s="168">
        <v>3</v>
      </c>
      <c r="F120" s="169">
        <f t="shared" si="16"/>
        <v>0</v>
      </c>
      <c r="G120" s="168">
        <v>0.706</v>
      </c>
      <c r="H120" s="170">
        <f t="shared" si="13"/>
        <v>0</v>
      </c>
      <c r="I120" s="168">
        <v>6.9</v>
      </c>
      <c r="J120" s="171">
        <f t="shared" si="14"/>
        <v>0</v>
      </c>
      <c r="K120" s="172">
        <f t="shared" si="15"/>
        <v>0</v>
      </c>
    </row>
    <row r="121" spans="2:11" ht="15">
      <c r="B121" s="144" t="s">
        <v>472</v>
      </c>
      <c r="C121" s="132" t="s">
        <v>471</v>
      </c>
      <c r="D121" s="132" t="s">
        <v>473</v>
      </c>
      <c r="E121" s="132">
        <v>3</v>
      </c>
      <c r="F121" s="169">
        <f t="shared" si="16"/>
        <v>0</v>
      </c>
      <c r="G121" s="132">
        <v>0.706</v>
      </c>
      <c r="H121" s="146">
        <f t="shared" si="13"/>
        <v>0</v>
      </c>
      <c r="I121" s="146">
        <v>4.3</v>
      </c>
      <c r="J121" s="147">
        <f t="shared" si="14"/>
        <v>0</v>
      </c>
      <c r="K121" s="148">
        <f t="shared" si="15"/>
        <v>0</v>
      </c>
    </row>
    <row r="122" spans="2:11" ht="15">
      <c r="B122" s="144" t="s">
        <v>474</v>
      </c>
      <c r="C122" s="132" t="s">
        <v>471</v>
      </c>
      <c r="D122" s="132" t="s">
        <v>475</v>
      </c>
      <c r="E122" s="132">
        <v>3</v>
      </c>
      <c r="F122" s="169">
        <f t="shared" si="16"/>
        <v>0</v>
      </c>
      <c r="G122" s="132">
        <v>0.706</v>
      </c>
      <c r="H122" s="146">
        <f t="shared" si="13"/>
        <v>0</v>
      </c>
      <c r="I122" s="146">
        <v>2.4</v>
      </c>
      <c r="J122" s="147">
        <f t="shared" si="14"/>
        <v>0</v>
      </c>
      <c r="K122" s="148">
        <f t="shared" si="15"/>
        <v>0</v>
      </c>
    </row>
    <row r="123" spans="2:11" ht="15">
      <c r="B123" s="144" t="s">
        <v>476</v>
      </c>
      <c r="C123" s="132" t="s">
        <v>447</v>
      </c>
      <c r="D123" s="132" t="s">
        <v>450</v>
      </c>
      <c r="E123" s="132">
        <v>3</v>
      </c>
      <c r="F123" s="169">
        <f t="shared" si="16"/>
        <v>0</v>
      </c>
      <c r="G123" s="132">
        <v>0.706</v>
      </c>
      <c r="H123" s="146">
        <f t="shared" si="13"/>
        <v>0</v>
      </c>
      <c r="I123" s="146">
        <v>4.1</v>
      </c>
      <c r="J123" s="147">
        <f t="shared" si="14"/>
        <v>0</v>
      </c>
      <c r="K123" s="148">
        <f t="shared" si="15"/>
        <v>0</v>
      </c>
    </row>
    <row r="124" spans="2:11" ht="15">
      <c r="B124" s="144" t="s">
        <v>477</v>
      </c>
      <c r="C124" s="132" t="s">
        <v>447</v>
      </c>
      <c r="D124" s="132" t="s">
        <v>473</v>
      </c>
      <c r="E124" s="132">
        <v>3</v>
      </c>
      <c r="F124" s="169">
        <f t="shared" si="16"/>
        <v>0</v>
      </c>
      <c r="G124" s="132">
        <v>0.706</v>
      </c>
      <c r="H124" s="146">
        <f t="shared" si="13"/>
        <v>0</v>
      </c>
      <c r="I124" s="146">
        <v>2.5</v>
      </c>
      <c r="J124" s="147">
        <f t="shared" si="14"/>
        <v>0</v>
      </c>
      <c r="K124" s="148">
        <f t="shared" si="15"/>
        <v>0</v>
      </c>
    </row>
    <row r="125" spans="2:11" ht="15.75" thickBot="1">
      <c r="B125" s="144" t="s">
        <v>478</v>
      </c>
      <c r="C125" s="132" t="s">
        <v>447</v>
      </c>
      <c r="D125" s="132" t="s">
        <v>475</v>
      </c>
      <c r="E125" s="132">
        <v>3</v>
      </c>
      <c r="F125" s="169">
        <f t="shared" si="16"/>
        <v>0</v>
      </c>
      <c r="G125" s="132">
        <v>0.706</v>
      </c>
      <c r="H125" s="146">
        <f t="shared" si="13"/>
        <v>0</v>
      </c>
      <c r="I125" s="146">
        <v>1.4</v>
      </c>
      <c r="J125" s="147">
        <f t="shared" si="14"/>
        <v>0</v>
      </c>
      <c r="K125" s="148">
        <f t="shared" si="15"/>
        <v>0</v>
      </c>
    </row>
    <row r="126" spans="2:11" ht="15.75" thickTop="1">
      <c r="B126" s="149"/>
      <c r="C126" s="150"/>
      <c r="D126" s="150"/>
      <c r="E126" s="150"/>
      <c r="F126" s="150"/>
      <c r="G126" s="150"/>
      <c r="H126" s="150"/>
      <c r="I126" s="151" t="s">
        <v>479</v>
      </c>
      <c r="J126" s="152">
        <f>SUM(J102:J125)</f>
        <v>0</v>
      </c>
      <c r="K126" s="143">
        <f t="shared" si="15"/>
        <v>0</v>
      </c>
    </row>
    <row r="127" spans="2:11" ht="15">
      <c r="B127" s="153"/>
      <c r="C127" s="154"/>
      <c r="D127" s="154"/>
      <c r="E127" s="154"/>
      <c r="F127" s="154"/>
      <c r="G127" s="154"/>
      <c r="H127" s="155"/>
      <c r="I127" s="156"/>
      <c r="J127" s="157"/>
      <c r="K127" s="148"/>
    </row>
    <row r="128" spans="2:11" ht="15.75" thickBot="1">
      <c r="B128" s="158"/>
      <c r="C128" s="159"/>
      <c r="D128" s="159"/>
      <c r="E128" s="159"/>
      <c r="F128" s="159"/>
      <c r="G128" s="159"/>
      <c r="H128" s="160"/>
      <c r="I128" s="161" t="s">
        <v>480</v>
      </c>
      <c r="J128" s="162">
        <f>J126*(44/12)</f>
        <v>0</v>
      </c>
      <c r="K128" s="163">
        <f>J128/2000</f>
        <v>0</v>
      </c>
    </row>
    <row r="129" ht="15.75" thickTop="1"/>
    <row r="130" spans="2:11" ht="15.75" thickBot="1">
      <c r="B130" s="217" t="s">
        <v>484</v>
      </c>
      <c r="C130" s="217"/>
      <c r="D130" s="217"/>
      <c r="E130" s="217"/>
      <c r="F130" s="217"/>
      <c r="G130" s="217"/>
      <c r="H130"/>
      <c r="I130"/>
      <c r="J130"/>
      <c r="K130"/>
    </row>
    <row r="131" spans="2:11" ht="15.75" thickBot="1">
      <c r="B131"/>
      <c r="C131"/>
      <c r="D131"/>
      <c r="E131"/>
      <c r="F131"/>
      <c r="G131"/>
      <c r="H131"/>
      <c r="I131"/>
      <c r="J131"/>
      <c r="K131"/>
    </row>
    <row r="132" spans="2:11" ht="15.75" thickTop="1">
      <c r="B132" s="127" t="s">
        <v>445</v>
      </c>
      <c r="C132" s="128"/>
      <c r="D132" s="128"/>
      <c r="E132" s="129" t="s">
        <v>446</v>
      </c>
      <c r="F132" s="129" t="s">
        <v>447</v>
      </c>
      <c r="G132" s="129" t="s">
        <v>448</v>
      </c>
      <c r="H132" s="129" t="s">
        <v>449</v>
      </c>
      <c r="I132" s="129" t="s">
        <v>450</v>
      </c>
      <c r="J132" s="128" t="s">
        <v>451</v>
      </c>
      <c r="K132" s="173"/>
    </row>
    <row r="133" spans="2:11" ht="15">
      <c r="B133" s="130" t="s">
        <v>452</v>
      </c>
      <c r="C133" s="131" t="s">
        <v>453</v>
      </c>
      <c r="D133" s="131" t="s">
        <v>454</v>
      </c>
      <c r="E133" s="132" t="s">
        <v>455</v>
      </c>
      <c r="F133" s="132" t="s">
        <v>456</v>
      </c>
      <c r="G133" s="132" t="s">
        <v>457</v>
      </c>
      <c r="H133" s="132" t="s">
        <v>458</v>
      </c>
      <c r="I133" s="132" t="s">
        <v>459</v>
      </c>
      <c r="J133" s="133" t="s">
        <v>460</v>
      </c>
      <c r="K133" s="134"/>
    </row>
    <row r="134" spans="2:11" ht="15.75" thickBot="1">
      <c r="B134" s="135"/>
      <c r="C134" s="136" t="s">
        <v>461</v>
      </c>
      <c r="D134" s="136" t="s">
        <v>462</v>
      </c>
      <c r="E134" s="136" t="s">
        <v>463</v>
      </c>
      <c r="F134" s="136" t="s">
        <v>464</v>
      </c>
      <c r="G134" s="132" t="s">
        <v>465</v>
      </c>
      <c r="H134" s="132" t="s">
        <v>466</v>
      </c>
      <c r="I134" s="132" t="s">
        <v>467</v>
      </c>
      <c r="J134" s="137" t="s">
        <v>468</v>
      </c>
      <c r="K134" s="138" t="s">
        <v>469</v>
      </c>
    </row>
    <row r="135" spans="2:11" ht="15.75" thickTop="1">
      <c r="B135" s="139" t="s">
        <v>470</v>
      </c>
      <c r="C135" s="129" t="s">
        <v>471</v>
      </c>
      <c r="D135" s="129" t="s">
        <v>450</v>
      </c>
      <c r="E135" s="129">
        <v>0</v>
      </c>
      <c r="F135" s="140">
        <f>+C20</f>
        <v>0</v>
      </c>
      <c r="G135" s="129">
        <v>0.873</v>
      </c>
      <c r="H135" s="141">
        <f aca="true" t="shared" si="17" ref="H135:H164">F135*G135</f>
        <v>0</v>
      </c>
      <c r="I135" s="129">
        <v>2.7</v>
      </c>
      <c r="J135" s="142">
        <f aca="true" t="shared" si="18" ref="J135:J164">H135*I135</f>
        <v>0</v>
      </c>
      <c r="K135" s="143">
        <f aca="true" t="shared" si="19" ref="K135:K165">J135/2000</f>
        <v>0</v>
      </c>
    </row>
    <row r="136" spans="2:11" ht="15">
      <c r="B136" s="144" t="s">
        <v>472</v>
      </c>
      <c r="C136" s="132" t="s">
        <v>471</v>
      </c>
      <c r="D136" s="132" t="s">
        <v>473</v>
      </c>
      <c r="E136" s="132">
        <v>0</v>
      </c>
      <c r="F136" s="145">
        <f>+D20</f>
        <v>0</v>
      </c>
      <c r="G136" s="132">
        <v>0.873</v>
      </c>
      <c r="H136" s="146">
        <f t="shared" si="17"/>
        <v>0</v>
      </c>
      <c r="I136" s="146">
        <v>1.9</v>
      </c>
      <c r="J136" s="147">
        <f t="shared" si="18"/>
        <v>0</v>
      </c>
      <c r="K136" s="148">
        <f t="shared" si="19"/>
        <v>0</v>
      </c>
    </row>
    <row r="137" spans="2:11" ht="15">
      <c r="B137" s="144" t="s">
        <v>474</v>
      </c>
      <c r="C137" s="132" t="s">
        <v>471</v>
      </c>
      <c r="D137" s="132" t="s">
        <v>475</v>
      </c>
      <c r="E137" s="132">
        <v>0</v>
      </c>
      <c r="F137" s="145">
        <f>+E20</f>
        <v>0</v>
      </c>
      <c r="G137" s="132">
        <v>0.873</v>
      </c>
      <c r="H137" s="146">
        <f t="shared" si="17"/>
        <v>0</v>
      </c>
      <c r="I137" s="146">
        <v>1.3</v>
      </c>
      <c r="J137" s="147">
        <f t="shared" si="18"/>
        <v>0</v>
      </c>
      <c r="K137" s="148">
        <f t="shared" si="19"/>
        <v>0</v>
      </c>
    </row>
    <row r="138" spans="2:11" ht="15">
      <c r="B138" s="144" t="s">
        <v>476</v>
      </c>
      <c r="C138" s="132" t="s">
        <v>447</v>
      </c>
      <c r="D138" s="132" t="s">
        <v>450</v>
      </c>
      <c r="E138" s="132">
        <v>0</v>
      </c>
      <c r="F138" s="145">
        <f>+F20</f>
        <v>0</v>
      </c>
      <c r="G138" s="132">
        <v>0.873</v>
      </c>
      <c r="H138" s="146">
        <f t="shared" si="17"/>
        <v>0</v>
      </c>
      <c r="I138" s="146">
        <v>1.4</v>
      </c>
      <c r="J138" s="147">
        <f t="shared" si="18"/>
        <v>0</v>
      </c>
      <c r="K138" s="148">
        <f t="shared" si="19"/>
        <v>0</v>
      </c>
    </row>
    <row r="139" spans="2:11" ht="15">
      <c r="B139" s="144" t="s">
        <v>477</v>
      </c>
      <c r="C139" s="132" t="s">
        <v>447</v>
      </c>
      <c r="D139" s="132" t="s">
        <v>473</v>
      </c>
      <c r="E139" s="132">
        <v>0</v>
      </c>
      <c r="F139" s="145">
        <f>+G20</f>
        <v>0</v>
      </c>
      <c r="G139" s="132">
        <v>0.873</v>
      </c>
      <c r="H139" s="146">
        <f t="shared" si="17"/>
        <v>0</v>
      </c>
      <c r="I139" s="146">
        <v>1</v>
      </c>
      <c r="J139" s="147">
        <f t="shared" si="18"/>
        <v>0</v>
      </c>
      <c r="K139" s="148">
        <f t="shared" si="19"/>
        <v>0</v>
      </c>
    </row>
    <row r="140" spans="2:11" ht="15">
      <c r="B140" s="144" t="s">
        <v>478</v>
      </c>
      <c r="C140" s="132" t="s">
        <v>447</v>
      </c>
      <c r="D140" s="132" t="s">
        <v>475</v>
      </c>
      <c r="E140" s="132">
        <v>0</v>
      </c>
      <c r="F140" s="145">
        <f>+H20</f>
        <v>0</v>
      </c>
      <c r="G140" s="132">
        <v>0.873</v>
      </c>
      <c r="H140" s="146">
        <f t="shared" si="17"/>
        <v>0</v>
      </c>
      <c r="I140" s="146">
        <v>0.7</v>
      </c>
      <c r="J140" s="147">
        <f t="shared" si="18"/>
        <v>0</v>
      </c>
      <c r="K140" s="148">
        <f t="shared" si="19"/>
        <v>0</v>
      </c>
    </row>
    <row r="141" spans="2:11" ht="15">
      <c r="B141" s="167" t="s">
        <v>470</v>
      </c>
      <c r="C141" s="168" t="s">
        <v>471</v>
      </c>
      <c r="D141" s="168" t="s">
        <v>450</v>
      </c>
      <c r="E141" s="168">
        <v>1</v>
      </c>
      <c r="F141" s="169">
        <f>+F102</f>
        <v>0</v>
      </c>
      <c r="G141" s="168">
        <v>0.798</v>
      </c>
      <c r="H141" s="170">
        <f t="shared" si="17"/>
        <v>0</v>
      </c>
      <c r="I141" s="168">
        <v>4</v>
      </c>
      <c r="J141" s="171">
        <f t="shared" si="18"/>
        <v>0</v>
      </c>
      <c r="K141" s="172">
        <f t="shared" si="19"/>
        <v>0</v>
      </c>
    </row>
    <row r="142" spans="2:11" ht="15">
      <c r="B142" s="144" t="s">
        <v>472</v>
      </c>
      <c r="C142" s="132" t="s">
        <v>471</v>
      </c>
      <c r="D142" s="132" t="s">
        <v>473</v>
      </c>
      <c r="E142" s="132">
        <v>1</v>
      </c>
      <c r="F142" s="169">
        <f aca="true" t="shared" si="20" ref="F142:F164">+F103</f>
        <v>0</v>
      </c>
      <c r="G142" s="132">
        <v>0.798</v>
      </c>
      <c r="H142" s="146">
        <f t="shared" si="17"/>
        <v>0</v>
      </c>
      <c r="I142" s="146">
        <v>2.7</v>
      </c>
      <c r="J142" s="147">
        <f t="shared" si="18"/>
        <v>0</v>
      </c>
      <c r="K142" s="148">
        <f t="shared" si="19"/>
        <v>0</v>
      </c>
    </row>
    <row r="143" spans="2:11" ht="15">
      <c r="B143" s="144" t="s">
        <v>474</v>
      </c>
      <c r="C143" s="132" t="s">
        <v>471</v>
      </c>
      <c r="D143" s="132" t="s">
        <v>475</v>
      </c>
      <c r="E143" s="132">
        <v>1</v>
      </c>
      <c r="F143" s="169">
        <f t="shared" si="20"/>
        <v>0</v>
      </c>
      <c r="G143" s="132">
        <v>0.798</v>
      </c>
      <c r="H143" s="146">
        <f t="shared" si="17"/>
        <v>0</v>
      </c>
      <c r="I143" s="146">
        <v>1.6</v>
      </c>
      <c r="J143" s="147">
        <f t="shared" si="18"/>
        <v>0</v>
      </c>
      <c r="K143" s="148">
        <f t="shared" si="19"/>
        <v>0</v>
      </c>
    </row>
    <row r="144" spans="2:11" ht="15">
      <c r="B144" s="144" t="s">
        <v>476</v>
      </c>
      <c r="C144" s="132" t="s">
        <v>447</v>
      </c>
      <c r="D144" s="132" t="s">
        <v>450</v>
      </c>
      <c r="E144" s="132">
        <v>1</v>
      </c>
      <c r="F144" s="169">
        <f t="shared" si="20"/>
        <v>0</v>
      </c>
      <c r="G144" s="132">
        <v>0.798</v>
      </c>
      <c r="H144" s="146">
        <f t="shared" si="17"/>
        <v>0</v>
      </c>
      <c r="I144" s="146">
        <v>2.2</v>
      </c>
      <c r="J144" s="147">
        <f t="shared" si="18"/>
        <v>0</v>
      </c>
      <c r="K144" s="148">
        <f t="shared" si="19"/>
        <v>0</v>
      </c>
    </row>
    <row r="145" spans="2:11" ht="15">
      <c r="B145" s="144" t="s">
        <v>477</v>
      </c>
      <c r="C145" s="132" t="s">
        <v>447</v>
      </c>
      <c r="D145" s="132" t="s">
        <v>473</v>
      </c>
      <c r="E145" s="132">
        <v>1</v>
      </c>
      <c r="F145" s="169">
        <f t="shared" si="20"/>
        <v>0</v>
      </c>
      <c r="G145" s="132">
        <v>0.798</v>
      </c>
      <c r="H145" s="146">
        <f t="shared" si="17"/>
        <v>0</v>
      </c>
      <c r="I145" s="146">
        <v>1.5</v>
      </c>
      <c r="J145" s="147">
        <f t="shared" si="18"/>
        <v>0</v>
      </c>
      <c r="K145" s="148">
        <f t="shared" si="19"/>
        <v>0</v>
      </c>
    </row>
    <row r="146" spans="2:11" ht="15">
      <c r="B146" s="144" t="s">
        <v>478</v>
      </c>
      <c r="C146" s="132" t="s">
        <v>447</v>
      </c>
      <c r="D146" s="132" t="s">
        <v>475</v>
      </c>
      <c r="E146" s="132">
        <v>1</v>
      </c>
      <c r="F146" s="169">
        <f t="shared" si="20"/>
        <v>0</v>
      </c>
      <c r="G146" s="132">
        <v>0.798</v>
      </c>
      <c r="H146" s="146">
        <f t="shared" si="17"/>
        <v>0</v>
      </c>
      <c r="I146" s="146">
        <v>0.9</v>
      </c>
      <c r="J146" s="147">
        <f t="shared" si="18"/>
        <v>0</v>
      </c>
      <c r="K146" s="148">
        <f t="shared" si="19"/>
        <v>0</v>
      </c>
    </row>
    <row r="147" spans="2:11" ht="15">
      <c r="B147" s="167" t="s">
        <v>470</v>
      </c>
      <c r="C147" s="168" t="s">
        <v>471</v>
      </c>
      <c r="D147" s="168" t="s">
        <v>450</v>
      </c>
      <c r="E147" s="168">
        <v>2</v>
      </c>
      <c r="F147" s="169">
        <f t="shared" si="20"/>
        <v>0</v>
      </c>
      <c r="G147" s="168">
        <v>0.736</v>
      </c>
      <c r="H147" s="170">
        <f t="shared" si="17"/>
        <v>0</v>
      </c>
      <c r="I147" s="168">
        <v>5.4</v>
      </c>
      <c r="J147" s="171">
        <f t="shared" si="18"/>
        <v>0</v>
      </c>
      <c r="K147" s="172">
        <f t="shared" si="19"/>
        <v>0</v>
      </c>
    </row>
    <row r="148" spans="2:11" ht="15">
      <c r="B148" s="144" t="s">
        <v>472</v>
      </c>
      <c r="C148" s="132" t="s">
        <v>471</v>
      </c>
      <c r="D148" s="132" t="s">
        <v>473</v>
      </c>
      <c r="E148" s="132">
        <v>2</v>
      </c>
      <c r="F148" s="169">
        <f t="shared" si="20"/>
        <v>0</v>
      </c>
      <c r="G148" s="132">
        <v>0.736</v>
      </c>
      <c r="H148" s="146">
        <f t="shared" si="17"/>
        <v>0</v>
      </c>
      <c r="I148" s="146">
        <v>3.5</v>
      </c>
      <c r="J148" s="147">
        <f t="shared" si="18"/>
        <v>0</v>
      </c>
      <c r="K148" s="148">
        <f t="shared" si="19"/>
        <v>0</v>
      </c>
    </row>
    <row r="149" spans="2:11" ht="15">
      <c r="B149" s="144" t="s">
        <v>474</v>
      </c>
      <c r="C149" s="132" t="s">
        <v>471</v>
      </c>
      <c r="D149" s="132" t="s">
        <v>475</v>
      </c>
      <c r="E149" s="132">
        <v>2</v>
      </c>
      <c r="F149" s="169">
        <f t="shared" si="20"/>
        <v>0</v>
      </c>
      <c r="G149" s="132">
        <v>0.736</v>
      </c>
      <c r="H149" s="146">
        <f t="shared" si="17"/>
        <v>0</v>
      </c>
      <c r="I149" s="146">
        <v>2</v>
      </c>
      <c r="J149" s="147">
        <f t="shared" si="18"/>
        <v>0</v>
      </c>
      <c r="K149" s="148">
        <f t="shared" si="19"/>
        <v>0</v>
      </c>
    </row>
    <row r="150" spans="2:11" ht="15">
      <c r="B150" s="144" t="s">
        <v>476</v>
      </c>
      <c r="C150" s="132" t="s">
        <v>447</v>
      </c>
      <c r="D150" s="132" t="s">
        <v>450</v>
      </c>
      <c r="E150" s="132">
        <v>2</v>
      </c>
      <c r="F150" s="169">
        <f t="shared" si="20"/>
        <v>0</v>
      </c>
      <c r="G150" s="132">
        <v>0.736</v>
      </c>
      <c r="H150" s="146">
        <f t="shared" si="17"/>
        <v>0</v>
      </c>
      <c r="I150" s="146">
        <v>3.1</v>
      </c>
      <c r="J150" s="147">
        <f t="shared" si="18"/>
        <v>0</v>
      </c>
      <c r="K150" s="148">
        <f t="shared" si="19"/>
        <v>0</v>
      </c>
    </row>
    <row r="151" spans="2:11" ht="15">
      <c r="B151" s="144" t="s">
        <v>477</v>
      </c>
      <c r="C151" s="132" t="s">
        <v>447</v>
      </c>
      <c r="D151" s="132" t="s">
        <v>473</v>
      </c>
      <c r="E151" s="132">
        <v>2</v>
      </c>
      <c r="F151" s="169">
        <f t="shared" si="20"/>
        <v>0</v>
      </c>
      <c r="G151" s="132">
        <v>0.736</v>
      </c>
      <c r="H151" s="146">
        <f t="shared" si="17"/>
        <v>0</v>
      </c>
      <c r="I151" s="146">
        <v>2</v>
      </c>
      <c r="J151" s="147">
        <f t="shared" si="18"/>
        <v>0</v>
      </c>
      <c r="K151" s="148">
        <f t="shared" si="19"/>
        <v>0</v>
      </c>
    </row>
    <row r="152" spans="2:11" ht="15">
      <c r="B152" s="144" t="s">
        <v>478</v>
      </c>
      <c r="C152" s="132" t="s">
        <v>447</v>
      </c>
      <c r="D152" s="132" t="s">
        <v>475</v>
      </c>
      <c r="E152" s="132">
        <v>2</v>
      </c>
      <c r="F152" s="169">
        <f t="shared" si="20"/>
        <v>0</v>
      </c>
      <c r="G152" s="132">
        <v>0.736</v>
      </c>
      <c r="H152" s="146">
        <f t="shared" si="17"/>
        <v>0</v>
      </c>
      <c r="I152" s="146">
        <v>1.1</v>
      </c>
      <c r="J152" s="147">
        <f t="shared" si="18"/>
        <v>0</v>
      </c>
      <c r="K152" s="148">
        <f t="shared" si="19"/>
        <v>0</v>
      </c>
    </row>
    <row r="153" spans="2:11" ht="15">
      <c r="B153" s="167" t="s">
        <v>470</v>
      </c>
      <c r="C153" s="168" t="s">
        <v>471</v>
      </c>
      <c r="D153" s="168" t="s">
        <v>450</v>
      </c>
      <c r="E153" s="168">
        <v>3</v>
      </c>
      <c r="F153" s="169">
        <f t="shared" si="20"/>
        <v>0</v>
      </c>
      <c r="G153" s="168">
        <v>0.706</v>
      </c>
      <c r="H153" s="170">
        <f t="shared" si="17"/>
        <v>0</v>
      </c>
      <c r="I153" s="168">
        <v>6.9</v>
      </c>
      <c r="J153" s="171">
        <f t="shared" si="18"/>
        <v>0</v>
      </c>
      <c r="K153" s="172">
        <f t="shared" si="19"/>
        <v>0</v>
      </c>
    </row>
    <row r="154" spans="2:11" ht="15">
      <c r="B154" s="144" t="s">
        <v>472</v>
      </c>
      <c r="C154" s="132" t="s">
        <v>471</v>
      </c>
      <c r="D154" s="132" t="s">
        <v>473</v>
      </c>
      <c r="E154" s="132">
        <v>3</v>
      </c>
      <c r="F154" s="169">
        <f t="shared" si="20"/>
        <v>0</v>
      </c>
      <c r="G154" s="132">
        <v>0.706</v>
      </c>
      <c r="H154" s="146">
        <f t="shared" si="17"/>
        <v>0</v>
      </c>
      <c r="I154" s="146">
        <v>4.3</v>
      </c>
      <c r="J154" s="147">
        <f t="shared" si="18"/>
        <v>0</v>
      </c>
      <c r="K154" s="148">
        <f t="shared" si="19"/>
        <v>0</v>
      </c>
    </row>
    <row r="155" spans="2:11" ht="15">
      <c r="B155" s="144" t="s">
        <v>474</v>
      </c>
      <c r="C155" s="132" t="s">
        <v>471</v>
      </c>
      <c r="D155" s="132" t="s">
        <v>475</v>
      </c>
      <c r="E155" s="132">
        <v>3</v>
      </c>
      <c r="F155" s="169">
        <f t="shared" si="20"/>
        <v>0</v>
      </c>
      <c r="G155" s="132">
        <v>0.706</v>
      </c>
      <c r="H155" s="146">
        <f t="shared" si="17"/>
        <v>0</v>
      </c>
      <c r="I155" s="146">
        <v>2.4</v>
      </c>
      <c r="J155" s="147">
        <f t="shared" si="18"/>
        <v>0</v>
      </c>
      <c r="K155" s="148">
        <f t="shared" si="19"/>
        <v>0</v>
      </c>
    </row>
    <row r="156" spans="2:11" ht="15">
      <c r="B156" s="144" t="s">
        <v>476</v>
      </c>
      <c r="C156" s="132" t="s">
        <v>447</v>
      </c>
      <c r="D156" s="132" t="s">
        <v>450</v>
      </c>
      <c r="E156" s="132">
        <v>3</v>
      </c>
      <c r="F156" s="169">
        <f t="shared" si="20"/>
        <v>0</v>
      </c>
      <c r="G156" s="132">
        <v>0.706</v>
      </c>
      <c r="H156" s="146">
        <f t="shared" si="17"/>
        <v>0</v>
      </c>
      <c r="I156" s="146">
        <v>4.1</v>
      </c>
      <c r="J156" s="147">
        <f t="shared" si="18"/>
        <v>0</v>
      </c>
      <c r="K156" s="148">
        <f t="shared" si="19"/>
        <v>0</v>
      </c>
    </row>
    <row r="157" spans="2:11" ht="15">
      <c r="B157" s="144" t="s">
        <v>477</v>
      </c>
      <c r="C157" s="132" t="s">
        <v>447</v>
      </c>
      <c r="D157" s="132" t="s">
        <v>473</v>
      </c>
      <c r="E157" s="132">
        <v>3</v>
      </c>
      <c r="F157" s="169">
        <f t="shared" si="20"/>
        <v>0</v>
      </c>
      <c r="G157" s="132">
        <v>0.706</v>
      </c>
      <c r="H157" s="146">
        <f t="shared" si="17"/>
        <v>0</v>
      </c>
      <c r="I157" s="146">
        <v>2.5</v>
      </c>
      <c r="J157" s="147">
        <f t="shared" si="18"/>
        <v>0</v>
      </c>
      <c r="K157" s="148">
        <f t="shared" si="19"/>
        <v>0</v>
      </c>
    </row>
    <row r="158" spans="2:11" ht="15">
      <c r="B158" s="144" t="s">
        <v>478</v>
      </c>
      <c r="C158" s="132" t="s">
        <v>447</v>
      </c>
      <c r="D158" s="132" t="s">
        <v>475</v>
      </c>
      <c r="E158" s="132">
        <v>3</v>
      </c>
      <c r="F158" s="169">
        <f t="shared" si="20"/>
        <v>0</v>
      </c>
      <c r="G158" s="132">
        <v>0.706</v>
      </c>
      <c r="H158" s="146">
        <f t="shared" si="17"/>
        <v>0</v>
      </c>
      <c r="I158" s="146">
        <v>1.4</v>
      </c>
      <c r="J158" s="147">
        <f t="shared" si="18"/>
        <v>0</v>
      </c>
      <c r="K158" s="148">
        <f t="shared" si="19"/>
        <v>0</v>
      </c>
    </row>
    <row r="159" spans="2:11" ht="15">
      <c r="B159" s="167" t="s">
        <v>470</v>
      </c>
      <c r="C159" s="168" t="s">
        <v>471</v>
      </c>
      <c r="D159" s="168" t="s">
        <v>450</v>
      </c>
      <c r="E159" s="168">
        <v>4</v>
      </c>
      <c r="F159" s="169">
        <f t="shared" si="20"/>
        <v>0</v>
      </c>
      <c r="G159" s="168">
        <v>0.678</v>
      </c>
      <c r="H159" s="170">
        <f t="shared" si="17"/>
        <v>0</v>
      </c>
      <c r="I159" s="168">
        <v>8.5</v>
      </c>
      <c r="J159" s="171">
        <f t="shared" si="18"/>
        <v>0</v>
      </c>
      <c r="K159" s="172">
        <f t="shared" si="19"/>
        <v>0</v>
      </c>
    </row>
    <row r="160" spans="2:11" ht="15">
      <c r="B160" s="144" t="s">
        <v>472</v>
      </c>
      <c r="C160" s="132" t="s">
        <v>471</v>
      </c>
      <c r="D160" s="132" t="s">
        <v>473</v>
      </c>
      <c r="E160" s="132">
        <v>4</v>
      </c>
      <c r="F160" s="169">
        <f t="shared" si="20"/>
        <v>0</v>
      </c>
      <c r="G160" s="132">
        <v>0.678</v>
      </c>
      <c r="H160" s="146">
        <f t="shared" si="17"/>
        <v>0</v>
      </c>
      <c r="I160" s="146">
        <v>5.2</v>
      </c>
      <c r="J160" s="147">
        <f t="shared" si="18"/>
        <v>0</v>
      </c>
      <c r="K160" s="148">
        <f t="shared" si="19"/>
        <v>0</v>
      </c>
    </row>
    <row r="161" spans="2:11" ht="15">
      <c r="B161" s="144" t="s">
        <v>474</v>
      </c>
      <c r="C161" s="132" t="s">
        <v>471</v>
      </c>
      <c r="D161" s="132" t="s">
        <v>475</v>
      </c>
      <c r="E161" s="132">
        <v>4</v>
      </c>
      <c r="F161" s="169">
        <f t="shared" si="20"/>
        <v>0</v>
      </c>
      <c r="G161" s="132">
        <v>0.678</v>
      </c>
      <c r="H161" s="146">
        <f t="shared" si="17"/>
        <v>0</v>
      </c>
      <c r="I161" s="146">
        <v>2.8</v>
      </c>
      <c r="J161" s="147">
        <f t="shared" si="18"/>
        <v>0</v>
      </c>
      <c r="K161" s="148">
        <f t="shared" si="19"/>
        <v>0</v>
      </c>
    </row>
    <row r="162" spans="2:11" ht="15">
      <c r="B162" s="144" t="s">
        <v>476</v>
      </c>
      <c r="C162" s="132" t="s">
        <v>447</v>
      </c>
      <c r="D162" s="132" t="s">
        <v>450</v>
      </c>
      <c r="E162" s="132">
        <v>4</v>
      </c>
      <c r="F162" s="169">
        <f t="shared" si="20"/>
        <v>0</v>
      </c>
      <c r="G162" s="132">
        <v>0.678</v>
      </c>
      <c r="H162" s="146">
        <f t="shared" si="17"/>
        <v>0</v>
      </c>
      <c r="I162" s="146">
        <v>5.2</v>
      </c>
      <c r="J162" s="147">
        <f t="shared" si="18"/>
        <v>0</v>
      </c>
      <c r="K162" s="148">
        <f t="shared" si="19"/>
        <v>0</v>
      </c>
    </row>
    <row r="163" spans="2:11" ht="15">
      <c r="B163" s="144" t="s">
        <v>477</v>
      </c>
      <c r="C163" s="132" t="s">
        <v>447</v>
      </c>
      <c r="D163" s="132" t="s">
        <v>473</v>
      </c>
      <c r="E163" s="132">
        <v>4</v>
      </c>
      <c r="F163" s="169">
        <f t="shared" si="20"/>
        <v>0</v>
      </c>
      <c r="G163" s="132">
        <v>0.678</v>
      </c>
      <c r="H163" s="146">
        <f t="shared" si="17"/>
        <v>0</v>
      </c>
      <c r="I163" s="146">
        <v>3.1</v>
      </c>
      <c r="J163" s="147">
        <f t="shared" si="18"/>
        <v>0</v>
      </c>
      <c r="K163" s="148">
        <f t="shared" si="19"/>
        <v>0</v>
      </c>
    </row>
    <row r="164" spans="2:11" ht="15.75" thickBot="1">
      <c r="B164" s="144" t="s">
        <v>478</v>
      </c>
      <c r="C164" s="132" t="s">
        <v>447</v>
      </c>
      <c r="D164" s="132" t="s">
        <v>475</v>
      </c>
      <c r="E164" s="132">
        <v>4</v>
      </c>
      <c r="F164" s="169">
        <f t="shared" si="20"/>
        <v>0</v>
      </c>
      <c r="G164" s="132">
        <v>0.678</v>
      </c>
      <c r="H164" s="146">
        <f t="shared" si="17"/>
        <v>0</v>
      </c>
      <c r="I164" s="146">
        <v>1.6</v>
      </c>
      <c r="J164" s="147">
        <f t="shared" si="18"/>
        <v>0</v>
      </c>
      <c r="K164" s="148">
        <f t="shared" si="19"/>
        <v>0</v>
      </c>
    </row>
    <row r="165" spans="2:11" ht="15.75" thickTop="1">
      <c r="B165" s="149"/>
      <c r="C165" s="150"/>
      <c r="D165" s="150"/>
      <c r="E165" s="150"/>
      <c r="F165" s="150"/>
      <c r="G165" s="150"/>
      <c r="H165" s="150"/>
      <c r="I165" s="151" t="s">
        <v>479</v>
      </c>
      <c r="J165" s="152">
        <f>SUM(J135:J164)</f>
        <v>0</v>
      </c>
      <c r="K165" s="143">
        <f t="shared" si="19"/>
        <v>0</v>
      </c>
    </row>
    <row r="166" spans="2:11" ht="15">
      <c r="B166" s="153"/>
      <c r="C166" s="154"/>
      <c r="D166" s="154"/>
      <c r="E166" s="154"/>
      <c r="F166" s="154"/>
      <c r="G166" s="154"/>
      <c r="H166" s="155"/>
      <c r="I166" s="156"/>
      <c r="J166" s="157"/>
      <c r="K166" s="148"/>
    </row>
    <row r="167" spans="2:11" ht="15.75" thickBot="1">
      <c r="B167" s="158"/>
      <c r="C167" s="159"/>
      <c r="D167" s="159"/>
      <c r="E167" s="159"/>
      <c r="F167" s="159"/>
      <c r="G167" s="159"/>
      <c r="H167" s="160"/>
      <c r="I167" s="161" t="s">
        <v>480</v>
      </c>
      <c r="J167" s="162">
        <f>J165*(44/12)</f>
        <v>0</v>
      </c>
      <c r="K167" s="163">
        <f>J167/2000</f>
        <v>0</v>
      </c>
    </row>
    <row r="168" ht="15.75" thickTop="1"/>
    <row r="169" spans="2:11" ht="15.75" thickBot="1">
      <c r="B169" s="217" t="s">
        <v>485</v>
      </c>
      <c r="C169" s="217"/>
      <c r="D169" s="217"/>
      <c r="E169" s="217"/>
      <c r="F169" s="217"/>
      <c r="G169" s="217"/>
      <c r="H169"/>
      <c r="I169"/>
      <c r="J169"/>
      <c r="K169"/>
    </row>
    <row r="170" spans="2:11" ht="15.75" thickBot="1">
      <c r="B170"/>
      <c r="C170"/>
      <c r="D170"/>
      <c r="E170"/>
      <c r="F170"/>
      <c r="G170"/>
      <c r="H170"/>
      <c r="I170"/>
      <c r="J170"/>
      <c r="K170"/>
    </row>
    <row r="171" spans="2:11" ht="15.75" thickTop="1">
      <c r="B171" s="127" t="s">
        <v>445</v>
      </c>
      <c r="C171" s="128"/>
      <c r="D171" s="128"/>
      <c r="E171" s="129" t="s">
        <v>446</v>
      </c>
      <c r="F171" s="129" t="s">
        <v>447</v>
      </c>
      <c r="G171" s="129" t="s">
        <v>448</v>
      </c>
      <c r="H171" s="129" t="s">
        <v>449</v>
      </c>
      <c r="I171" s="129" t="s">
        <v>450</v>
      </c>
      <c r="J171" s="128" t="s">
        <v>451</v>
      </c>
      <c r="K171" s="173"/>
    </row>
    <row r="172" spans="2:11" ht="15">
      <c r="B172" s="130" t="s">
        <v>452</v>
      </c>
      <c r="C172" s="131" t="s">
        <v>453</v>
      </c>
      <c r="D172" s="131" t="s">
        <v>454</v>
      </c>
      <c r="E172" s="132" t="s">
        <v>455</v>
      </c>
      <c r="F172" s="132" t="s">
        <v>456</v>
      </c>
      <c r="G172" s="132" t="s">
        <v>457</v>
      </c>
      <c r="H172" s="132" t="s">
        <v>458</v>
      </c>
      <c r="I172" s="132" t="s">
        <v>459</v>
      </c>
      <c r="J172" s="133" t="s">
        <v>460</v>
      </c>
      <c r="K172" s="134"/>
    </row>
    <row r="173" spans="2:11" ht="15.75" thickBot="1">
      <c r="B173" s="135"/>
      <c r="C173" s="136" t="s">
        <v>461</v>
      </c>
      <c r="D173" s="136" t="s">
        <v>462</v>
      </c>
      <c r="E173" s="136" t="s">
        <v>463</v>
      </c>
      <c r="F173" s="136" t="s">
        <v>464</v>
      </c>
      <c r="G173" s="132" t="s">
        <v>465</v>
      </c>
      <c r="H173" s="132" t="s">
        <v>466</v>
      </c>
      <c r="I173" s="132" t="s">
        <v>467</v>
      </c>
      <c r="J173" s="137" t="s">
        <v>468</v>
      </c>
      <c r="K173" s="138" t="s">
        <v>469</v>
      </c>
    </row>
    <row r="174" spans="2:11" ht="15.75" thickTop="1">
      <c r="B174" s="139" t="s">
        <v>470</v>
      </c>
      <c r="C174" s="129" t="s">
        <v>471</v>
      </c>
      <c r="D174" s="129" t="s">
        <v>450</v>
      </c>
      <c r="E174" s="129">
        <v>0</v>
      </c>
      <c r="F174" s="140">
        <f>+C21</f>
        <v>0</v>
      </c>
      <c r="G174" s="129">
        <v>0.873</v>
      </c>
      <c r="H174" s="141">
        <f aca="true" t="shared" si="21" ref="H174:H209">F174*G174</f>
        <v>0</v>
      </c>
      <c r="I174" s="129">
        <v>2.7</v>
      </c>
      <c r="J174" s="142">
        <f aca="true" t="shared" si="22" ref="J174:J209">H174*I174</f>
        <v>0</v>
      </c>
      <c r="K174" s="143">
        <f aca="true" t="shared" si="23" ref="K174:K210">J174/2000</f>
        <v>0</v>
      </c>
    </row>
    <row r="175" spans="2:11" ht="15">
      <c r="B175" s="144" t="s">
        <v>472</v>
      </c>
      <c r="C175" s="132" t="s">
        <v>471</v>
      </c>
      <c r="D175" s="132" t="s">
        <v>473</v>
      </c>
      <c r="E175" s="132">
        <v>0</v>
      </c>
      <c r="F175" s="145">
        <f>+D21</f>
        <v>0</v>
      </c>
      <c r="G175" s="132">
        <v>0.873</v>
      </c>
      <c r="H175" s="146">
        <f t="shared" si="21"/>
        <v>0</v>
      </c>
      <c r="I175" s="146">
        <v>1.9</v>
      </c>
      <c r="J175" s="147">
        <f t="shared" si="22"/>
        <v>0</v>
      </c>
      <c r="K175" s="148">
        <f t="shared" si="23"/>
        <v>0</v>
      </c>
    </row>
    <row r="176" spans="2:11" ht="15">
      <c r="B176" s="144" t="s">
        <v>474</v>
      </c>
      <c r="C176" s="132" t="s">
        <v>471</v>
      </c>
      <c r="D176" s="132" t="s">
        <v>475</v>
      </c>
      <c r="E176" s="132">
        <v>0</v>
      </c>
      <c r="F176" s="145">
        <f>+E21</f>
        <v>0</v>
      </c>
      <c r="G176" s="132">
        <v>0.873</v>
      </c>
      <c r="H176" s="146">
        <f t="shared" si="21"/>
        <v>0</v>
      </c>
      <c r="I176" s="146">
        <v>1.3</v>
      </c>
      <c r="J176" s="147">
        <f t="shared" si="22"/>
        <v>0</v>
      </c>
      <c r="K176" s="148">
        <f t="shared" si="23"/>
        <v>0</v>
      </c>
    </row>
    <row r="177" spans="2:11" ht="15">
      <c r="B177" s="144" t="s">
        <v>476</v>
      </c>
      <c r="C177" s="132" t="s">
        <v>447</v>
      </c>
      <c r="D177" s="132" t="s">
        <v>450</v>
      </c>
      <c r="E177" s="132">
        <v>0</v>
      </c>
      <c r="F177" s="145">
        <f>+F21</f>
        <v>0</v>
      </c>
      <c r="G177" s="132">
        <v>0.873</v>
      </c>
      <c r="H177" s="146">
        <f t="shared" si="21"/>
        <v>0</v>
      </c>
      <c r="I177" s="146">
        <v>1.4</v>
      </c>
      <c r="J177" s="147">
        <f t="shared" si="22"/>
        <v>0</v>
      </c>
      <c r="K177" s="148">
        <f t="shared" si="23"/>
        <v>0</v>
      </c>
    </row>
    <row r="178" spans="2:11" ht="15">
      <c r="B178" s="144" t="s">
        <v>477</v>
      </c>
      <c r="C178" s="132" t="s">
        <v>447</v>
      </c>
      <c r="D178" s="132" t="s">
        <v>473</v>
      </c>
      <c r="E178" s="132">
        <v>0</v>
      </c>
      <c r="F178" s="145">
        <f>+G21</f>
        <v>0</v>
      </c>
      <c r="G178" s="132">
        <v>0.873</v>
      </c>
      <c r="H178" s="146">
        <f t="shared" si="21"/>
        <v>0</v>
      </c>
      <c r="I178" s="146">
        <v>1</v>
      </c>
      <c r="J178" s="147">
        <f t="shared" si="22"/>
        <v>0</v>
      </c>
      <c r="K178" s="148">
        <f t="shared" si="23"/>
        <v>0</v>
      </c>
    </row>
    <row r="179" spans="2:11" ht="15">
      <c r="B179" s="144" t="s">
        <v>478</v>
      </c>
      <c r="C179" s="132" t="s">
        <v>447</v>
      </c>
      <c r="D179" s="132" t="s">
        <v>475</v>
      </c>
      <c r="E179" s="132">
        <v>0</v>
      </c>
      <c r="F179" s="145">
        <f>+H21</f>
        <v>0</v>
      </c>
      <c r="G179" s="132">
        <v>0.873</v>
      </c>
      <c r="H179" s="146">
        <f t="shared" si="21"/>
        <v>0</v>
      </c>
      <c r="I179" s="146">
        <v>0.7</v>
      </c>
      <c r="J179" s="147">
        <f t="shared" si="22"/>
        <v>0</v>
      </c>
      <c r="K179" s="148">
        <f t="shared" si="23"/>
        <v>0</v>
      </c>
    </row>
    <row r="180" spans="2:11" ht="15">
      <c r="B180" s="167" t="s">
        <v>470</v>
      </c>
      <c r="C180" s="168" t="s">
        <v>471</v>
      </c>
      <c r="D180" s="168" t="s">
        <v>450</v>
      </c>
      <c r="E180" s="168">
        <v>1</v>
      </c>
      <c r="F180" s="168">
        <f>+F135</f>
        <v>0</v>
      </c>
      <c r="G180" s="168">
        <v>0.798</v>
      </c>
      <c r="H180" s="170">
        <f t="shared" si="21"/>
        <v>0</v>
      </c>
      <c r="I180" s="168">
        <v>4</v>
      </c>
      <c r="J180" s="171">
        <f t="shared" si="22"/>
        <v>0</v>
      </c>
      <c r="K180" s="172">
        <f t="shared" si="23"/>
        <v>0</v>
      </c>
    </row>
    <row r="181" spans="2:11" ht="15">
      <c r="B181" s="144" t="s">
        <v>472</v>
      </c>
      <c r="C181" s="132" t="s">
        <v>471</v>
      </c>
      <c r="D181" s="132" t="s">
        <v>473</v>
      </c>
      <c r="E181" s="132">
        <v>1</v>
      </c>
      <c r="F181" s="168">
        <f aca="true" t="shared" si="24" ref="F181:F209">+F136</f>
        <v>0</v>
      </c>
      <c r="G181" s="132">
        <v>0.798</v>
      </c>
      <c r="H181" s="146">
        <f t="shared" si="21"/>
        <v>0</v>
      </c>
      <c r="I181" s="146">
        <v>2.7</v>
      </c>
      <c r="J181" s="147">
        <f t="shared" si="22"/>
        <v>0</v>
      </c>
      <c r="K181" s="148">
        <f t="shared" si="23"/>
        <v>0</v>
      </c>
    </row>
    <row r="182" spans="2:11" ht="15">
      <c r="B182" s="144" t="s">
        <v>474</v>
      </c>
      <c r="C182" s="132" t="s">
        <v>471</v>
      </c>
      <c r="D182" s="132" t="s">
        <v>475</v>
      </c>
      <c r="E182" s="132">
        <v>1</v>
      </c>
      <c r="F182" s="168">
        <f t="shared" si="24"/>
        <v>0</v>
      </c>
      <c r="G182" s="132">
        <v>0.798</v>
      </c>
      <c r="H182" s="146">
        <f t="shared" si="21"/>
        <v>0</v>
      </c>
      <c r="I182" s="146">
        <v>1.6</v>
      </c>
      <c r="J182" s="147">
        <f t="shared" si="22"/>
        <v>0</v>
      </c>
      <c r="K182" s="148">
        <f t="shared" si="23"/>
        <v>0</v>
      </c>
    </row>
    <row r="183" spans="2:11" ht="15">
      <c r="B183" s="144" t="s">
        <v>476</v>
      </c>
      <c r="C183" s="132" t="s">
        <v>447</v>
      </c>
      <c r="D183" s="132" t="s">
        <v>450</v>
      </c>
      <c r="E183" s="132">
        <v>1</v>
      </c>
      <c r="F183" s="168">
        <f t="shared" si="24"/>
        <v>0</v>
      </c>
      <c r="G183" s="132">
        <v>0.798</v>
      </c>
      <c r="H183" s="146">
        <f t="shared" si="21"/>
        <v>0</v>
      </c>
      <c r="I183" s="146">
        <v>2.2</v>
      </c>
      <c r="J183" s="147">
        <f t="shared" si="22"/>
        <v>0</v>
      </c>
      <c r="K183" s="148">
        <f t="shared" si="23"/>
        <v>0</v>
      </c>
    </row>
    <row r="184" spans="2:11" ht="15">
      <c r="B184" s="144" t="s">
        <v>477</v>
      </c>
      <c r="C184" s="132" t="s">
        <v>447</v>
      </c>
      <c r="D184" s="132" t="s">
        <v>473</v>
      </c>
      <c r="E184" s="132">
        <v>1</v>
      </c>
      <c r="F184" s="168">
        <f t="shared" si="24"/>
        <v>0</v>
      </c>
      <c r="G184" s="132">
        <v>0.798</v>
      </c>
      <c r="H184" s="146">
        <f t="shared" si="21"/>
        <v>0</v>
      </c>
      <c r="I184" s="146">
        <v>1.5</v>
      </c>
      <c r="J184" s="147">
        <f t="shared" si="22"/>
        <v>0</v>
      </c>
      <c r="K184" s="148">
        <f t="shared" si="23"/>
        <v>0</v>
      </c>
    </row>
    <row r="185" spans="2:11" ht="15">
      <c r="B185" s="144" t="s">
        <v>478</v>
      </c>
      <c r="C185" s="132" t="s">
        <v>447</v>
      </c>
      <c r="D185" s="132" t="s">
        <v>475</v>
      </c>
      <c r="E185" s="132">
        <v>1</v>
      </c>
      <c r="F185" s="168">
        <f t="shared" si="24"/>
        <v>0</v>
      </c>
      <c r="G185" s="132">
        <v>0.798</v>
      </c>
      <c r="H185" s="146">
        <f t="shared" si="21"/>
        <v>0</v>
      </c>
      <c r="I185" s="146">
        <v>0.9</v>
      </c>
      <c r="J185" s="147">
        <f t="shared" si="22"/>
        <v>0</v>
      </c>
      <c r="K185" s="148">
        <f t="shared" si="23"/>
        <v>0</v>
      </c>
    </row>
    <row r="186" spans="2:11" ht="15">
      <c r="B186" s="167" t="s">
        <v>470</v>
      </c>
      <c r="C186" s="168" t="s">
        <v>471</v>
      </c>
      <c r="D186" s="168" t="s">
        <v>450</v>
      </c>
      <c r="E186" s="168">
        <v>2</v>
      </c>
      <c r="F186" s="168">
        <f t="shared" si="24"/>
        <v>0</v>
      </c>
      <c r="G186" s="168">
        <v>0.736</v>
      </c>
      <c r="H186" s="170">
        <f t="shared" si="21"/>
        <v>0</v>
      </c>
      <c r="I186" s="168">
        <v>5.4</v>
      </c>
      <c r="J186" s="171">
        <f t="shared" si="22"/>
        <v>0</v>
      </c>
      <c r="K186" s="172">
        <f t="shared" si="23"/>
        <v>0</v>
      </c>
    </row>
    <row r="187" spans="2:11" ht="15">
      <c r="B187" s="144" t="s">
        <v>472</v>
      </c>
      <c r="C187" s="132" t="s">
        <v>471</v>
      </c>
      <c r="D187" s="132" t="s">
        <v>473</v>
      </c>
      <c r="E187" s="132">
        <v>2</v>
      </c>
      <c r="F187" s="168">
        <f t="shared" si="24"/>
        <v>0</v>
      </c>
      <c r="G187" s="132">
        <v>0.736</v>
      </c>
      <c r="H187" s="146">
        <f t="shared" si="21"/>
        <v>0</v>
      </c>
      <c r="I187" s="146">
        <v>3.5</v>
      </c>
      <c r="J187" s="147">
        <f t="shared" si="22"/>
        <v>0</v>
      </c>
      <c r="K187" s="148">
        <f t="shared" si="23"/>
        <v>0</v>
      </c>
    </row>
    <row r="188" spans="2:11" ht="15">
      <c r="B188" s="144" t="s">
        <v>474</v>
      </c>
      <c r="C188" s="132" t="s">
        <v>471</v>
      </c>
      <c r="D188" s="132" t="s">
        <v>475</v>
      </c>
      <c r="E188" s="132">
        <v>2</v>
      </c>
      <c r="F188" s="168">
        <f t="shared" si="24"/>
        <v>0</v>
      </c>
      <c r="G188" s="132">
        <v>0.736</v>
      </c>
      <c r="H188" s="146">
        <f t="shared" si="21"/>
        <v>0</v>
      </c>
      <c r="I188" s="146">
        <v>2</v>
      </c>
      <c r="J188" s="147">
        <f t="shared" si="22"/>
        <v>0</v>
      </c>
      <c r="K188" s="148">
        <f t="shared" si="23"/>
        <v>0</v>
      </c>
    </row>
    <row r="189" spans="2:11" ht="15">
      <c r="B189" s="144" t="s">
        <v>476</v>
      </c>
      <c r="C189" s="132" t="s">
        <v>447</v>
      </c>
      <c r="D189" s="132" t="s">
        <v>450</v>
      </c>
      <c r="E189" s="132">
        <v>2</v>
      </c>
      <c r="F189" s="168">
        <f t="shared" si="24"/>
        <v>0</v>
      </c>
      <c r="G189" s="132">
        <v>0.736</v>
      </c>
      <c r="H189" s="146">
        <f t="shared" si="21"/>
        <v>0</v>
      </c>
      <c r="I189" s="146">
        <v>3.1</v>
      </c>
      <c r="J189" s="147">
        <f t="shared" si="22"/>
        <v>0</v>
      </c>
      <c r="K189" s="148">
        <f t="shared" si="23"/>
        <v>0</v>
      </c>
    </row>
    <row r="190" spans="2:11" ht="15">
      <c r="B190" s="144" t="s">
        <v>477</v>
      </c>
      <c r="C190" s="132" t="s">
        <v>447</v>
      </c>
      <c r="D190" s="132" t="s">
        <v>473</v>
      </c>
      <c r="E190" s="132">
        <v>2</v>
      </c>
      <c r="F190" s="168">
        <f t="shared" si="24"/>
        <v>0</v>
      </c>
      <c r="G190" s="132">
        <v>0.736</v>
      </c>
      <c r="H190" s="146">
        <f t="shared" si="21"/>
        <v>0</v>
      </c>
      <c r="I190" s="146">
        <v>2</v>
      </c>
      <c r="J190" s="147">
        <f t="shared" si="22"/>
        <v>0</v>
      </c>
      <c r="K190" s="148">
        <f t="shared" si="23"/>
        <v>0</v>
      </c>
    </row>
    <row r="191" spans="2:11" ht="15">
      <c r="B191" s="144" t="s">
        <v>478</v>
      </c>
      <c r="C191" s="132" t="s">
        <v>447</v>
      </c>
      <c r="D191" s="132" t="s">
        <v>475</v>
      </c>
      <c r="E191" s="132">
        <v>2</v>
      </c>
      <c r="F191" s="168">
        <f t="shared" si="24"/>
        <v>0</v>
      </c>
      <c r="G191" s="132">
        <v>0.736</v>
      </c>
      <c r="H191" s="146">
        <f t="shared" si="21"/>
        <v>0</v>
      </c>
      <c r="I191" s="146">
        <v>1.1</v>
      </c>
      <c r="J191" s="147">
        <f t="shared" si="22"/>
        <v>0</v>
      </c>
      <c r="K191" s="148">
        <f t="shared" si="23"/>
        <v>0</v>
      </c>
    </row>
    <row r="192" spans="2:11" ht="15">
      <c r="B192" s="167" t="s">
        <v>470</v>
      </c>
      <c r="C192" s="168" t="s">
        <v>471</v>
      </c>
      <c r="D192" s="168" t="s">
        <v>450</v>
      </c>
      <c r="E192" s="168">
        <v>3</v>
      </c>
      <c r="F192" s="168">
        <f t="shared" si="24"/>
        <v>0</v>
      </c>
      <c r="G192" s="168">
        <v>0.706</v>
      </c>
      <c r="H192" s="170">
        <f t="shared" si="21"/>
        <v>0</v>
      </c>
      <c r="I192" s="168">
        <v>6.9</v>
      </c>
      <c r="J192" s="171">
        <f t="shared" si="22"/>
        <v>0</v>
      </c>
      <c r="K192" s="172">
        <f t="shared" si="23"/>
        <v>0</v>
      </c>
    </row>
    <row r="193" spans="2:11" ht="15">
      <c r="B193" s="144" t="s">
        <v>472</v>
      </c>
      <c r="C193" s="132" t="s">
        <v>471</v>
      </c>
      <c r="D193" s="132" t="s">
        <v>473</v>
      </c>
      <c r="E193" s="132">
        <v>3</v>
      </c>
      <c r="F193" s="168">
        <f t="shared" si="24"/>
        <v>0</v>
      </c>
      <c r="G193" s="132">
        <v>0.706</v>
      </c>
      <c r="H193" s="146">
        <f t="shared" si="21"/>
        <v>0</v>
      </c>
      <c r="I193" s="146">
        <v>4.3</v>
      </c>
      <c r="J193" s="147">
        <f t="shared" si="22"/>
        <v>0</v>
      </c>
      <c r="K193" s="148">
        <f t="shared" si="23"/>
        <v>0</v>
      </c>
    </row>
    <row r="194" spans="2:11" ht="15">
      <c r="B194" s="144" t="s">
        <v>474</v>
      </c>
      <c r="C194" s="132" t="s">
        <v>471</v>
      </c>
      <c r="D194" s="132" t="s">
        <v>475</v>
      </c>
      <c r="E194" s="132">
        <v>3</v>
      </c>
      <c r="F194" s="168">
        <f t="shared" si="24"/>
        <v>0</v>
      </c>
      <c r="G194" s="132">
        <v>0.706</v>
      </c>
      <c r="H194" s="146">
        <f t="shared" si="21"/>
        <v>0</v>
      </c>
      <c r="I194" s="146">
        <v>2.4</v>
      </c>
      <c r="J194" s="147">
        <f t="shared" si="22"/>
        <v>0</v>
      </c>
      <c r="K194" s="148">
        <f t="shared" si="23"/>
        <v>0</v>
      </c>
    </row>
    <row r="195" spans="2:11" ht="15">
      <c r="B195" s="144" t="s">
        <v>476</v>
      </c>
      <c r="C195" s="132" t="s">
        <v>447</v>
      </c>
      <c r="D195" s="132" t="s">
        <v>450</v>
      </c>
      <c r="E195" s="132">
        <v>3</v>
      </c>
      <c r="F195" s="168">
        <f t="shared" si="24"/>
        <v>0</v>
      </c>
      <c r="G195" s="132">
        <v>0.706</v>
      </c>
      <c r="H195" s="146">
        <f t="shared" si="21"/>
        <v>0</v>
      </c>
      <c r="I195" s="146">
        <v>4.1</v>
      </c>
      <c r="J195" s="147">
        <f t="shared" si="22"/>
        <v>0</v>
      </c>
      <c r="K195" s="148">
        <f t="shared" si="23"/>
        <v>0</v>
      </c>
    </row>
    <row r="196" spans="2:11" ht="15">
      <c r="B196" s="144" t="s">
        <v>477</v>
      </c>
      <c r="C196" s="132" t="s">
        <v>447</v>
      </c>
      <c r="D196" s="132" t="s">
        <v>473</v>
      </c>
      <c r="E196" s="132">
        <v>3</v>
      </c>
      <c r="F196" s="168">
        <f t="shared" si="24"/>
        <v>0</v>
      </c>
      <c r="G196" s="132">
        <v>0.706</v>
      </c>
      <c r="H196" s="146">
        <f t="shared" si="21"/>
        <v>0</v>
      </c>
      <c r="I196" s="146">
        <v>2.5</v>
      </c>
      <c r="J196" s="147">
        <f t="shared" si="22"/>
        <v>0</v>
      </c>
      <c r="K196" s="148">
        <f t="shared" si="23"/>
        <v>0</v>
      </c>
    </row>
    <row r="197" spans="2:11" ht="15">
      <c r="B197" s="144" t="s">
        <v>478</v>
      </c>
      <c r="C197" s="132" t="s">
        <v>447</v>
      </c>
      <c r="D197" s="132" t="s">
        <v>475</v>
      </c>
      <c r="E197" s="132">
        <v>3</v>
      </c>
      <c r="F197" s="168">
        <f t="shared" si="24"/>
        <v>0</v>
      </c>
      <c r="G197" s="132">
        <v>0.706</v>
      </c>
      <c r="H197" s="146">
        <f t="shared" si="21"/>
        <v>0</v>
      </c>
      <c r="I197" s="146">
        <v>1.4</v>
      </c>
      <c r="J197" s="147">
        <f t="shared" si="22"/>
        <v>0</v>
      </c>
      <c r="K197" s="148">
        <f t="shared" si="23"/>
        <v>0</v>
      </c>
    </row>
    <row r="198" spans="2:11" ht="15">
      <c r="B198" s="167" t="s">
        <v>470</v>
      </c>
      <c r="C198" s="168" t="s">
        <v>471</v>
      </c>
      <c r="D198" s="168" t="s">
        <v>450</v>
      </c>
      <c r="E198" s="168">
        <v>4</v>
      </c>
      <c r="F198" s="168">
        <f t="shared" si="24"/>
        <v>0</v>
      </c>
      <c r="G198" s="168">
        <v>0.678</v>
      </c>
      <c r="H198" s="170">
        <f t="shared" si="21"/>
        <v>0</v>
      </c>
      <c r="I198" s="168">
        <v>8.5</v>
      </c>
      <c r="J198" s="171">
        <f t="shared" si="22"/>
        <v>0</v>
      </c>
      <c r="K198" s="172">
        <f t="shared" si="23"/>
        <v>0</v>
      </c>
    </row>
    <row r="199" spans="2:11" ht="15">
      <c r="B199" s="144" t="s">
        <v>472</v>
      </c>
      <c r="C199" s="132" t="s">
        <v>471</v>
      </c>
      <c r="D199" s="132" t="s">
        <v>473</v>
      </c>
      <c r="E199" s="132">
        <v>4</v>
      </c>
      <c r="F199" s="168">
        <f t="shared" si="24"/>
        <v>0</v>
      </c>
      <c r="G199" s="132">
        <v>0.678</v>
      </c>
      <c r="H199" s="146">
        <f t="shared" si="21"/>
        <v>0</v>
      </c>
      <c r="I199" s="146">
        <v>5.2</v>
      </c>
      <c r="J199" s="147">
        <f t="shared" si="22"/>
        <v>0</v>
      </c>
      <c r="K199" s="148">
        <f t="shared" si="23"/>
        <v>0</v>
      </c>
    </row>
    <row r="200" spans="2:11" ht="15">
      <c r="B200" s="144" t="s">
        <v>474</v>
      </c>
      <c r="C200" s="132" t="s">
        <v>471</v>
      </c>
      <c r="D200" s="132" t="s">
        <v>475</v>
      </c>
      <c r="E200" s="132">
        <v>4</v>
      </c>
      <c r="F200" s="168">
        <f t="shared" si="24"/>
        <v>0</v>
      </c>
      <c r="G200" s="132">
        <v>0.678</v>
      </c>
      <c r="H200" s="146">
        <f t="shared" si="21"/>
        <v>0</v>
      </c>
      <c r="I200" s="146">
        <v>2.8</v>
      </c>
      <c r="J200" s="147">
        <f t="shared" si="22"/>
        <v>0</v>
      </c>
      <c r="K200" s="148">
        <f t="shared" si="23"/>
        <v>0</v>
      </c>
    </row>
    <row r="201" spans="2:11" ht="15">
      <c r="B201" s="144" t="s">
        <v>476</v>
      </c>
      <c r="C201" s="132" t="s">
        <v>447</v>
      </c>
      <c r="D201" s="132" t="s">
        <v>450</v>
      </c>
      <c r="E201" s="132">
        <v>4</v>
      </c>
      <c r="F201" s="168">
        <f t="shared" si="24"/>
        <v>0</v>
      </c>
      <c r="G201" s="132">
        <v>0.678</v>
      </c>
      <c r="H201" s="146">
        <f t="shared" si="21"/>
        <v>0</v>
      </c>
      <c r="I201" s="146">
        <v>5.2</v>
      </c>
      <c r="J201" s="147">
        <f t="shared" si="22"/>
        <v>0</v>
      </c>
      <c r="K201" s="148">
        <f t="shared" si="23"/>
        <v>0</v>
      </c>
    </row>
    <row r="202" spans="2:11" ht="15">
      <c r="B202" s="144" t="s">
        <v>477</v>
      </c>
      <c r="C202" s="132" t="s">
        <v>447</v>
      </c>
      <c r="D202" s="132" t="s">
        <v>473</v>
      </c>
      <c r="E202" s="132">
        <v>4</v>
      </c>
      <c r="F202" s="168">
        <f t="shared" si="24"/>
        <v>0</v>
      </c>
      <c r="G202" s="132">
        <v>0.678</v>
      </c>
      <c r="H202" s="146">
        <f t="shared" si="21"/>
        <v>0</v>
      </c>
      <c r="I202" s="146">
        <v>3.1</v>
      </c>
      <c r="J202" s="147">
        <f t="shared" si="22"/>
        <v>0</v>
      </c>
      <c r="K202" s="148">
        <f t="shared" si="23"/>
        <v>0</v>
      </c>
    </row>
    <row r="203" spans="2:11" ht="15">
      <c r="B203" s="144" t="s">
        <v>478</v>
      </c>
      <c r="C203" s="132" t="s">
        <v>447</v>
      </c>
      <c r="D203" s="132" t="s">
        <v>475</v>
      </c>
      <c r="E203" s="132">
        <v>4</v>
      </c>
      <c r="F203" s="168">
        <f t="shared" si="24"/>
        <v>0</v>
      </c>
      <c r="G203" s="132">
        <v>0.678</v>
      </c>
      <c r="H203" s="146">
        <f t="shared" si="21"/>
        <v>0</v>
      </c>
      <c r="I203" s="146">
        <v>1.6</v>
      </c>
      <c r="J203" s="147">
        <f t="shared" si="22"/>
        <v>0</v>
      </c>
      <c r="K203" s="148">
        <f t="shared" si="23"/>
        <v>0</v>
      </c>
    </row>
    <row r="204" spans="2:11" ht="15">
      <c r="B204" s="167" t="s">
        <v>470</v>
      </c>
      <c r="C204" s="168" t="s">
        <v>471</v>
      </c>
      <c r="D204" s="168" t="s">
        <v>450</v>
      </c>
      <c r="E204" s="168">
        <v>5</v>
      </c>
      <c r="F204" s="168">
        <f t="shared" si="24"/>
        <v>0</v>
      </c>
      <c r="G204" s="168">
        <v>0.658</v>
      </c>
      <c r="H204" s="170">
        <f t="shared" si="21"/>
        <v>0</v>
      </c>
      <c r="I204" s="168">
        <v>10.1</v>
      </c>
      <c r="J204" s="171">
        <f t="shared" si="22"/>
        <v>0</v>
      </c>
      <c r="K204" s="172">
        <f t="shared" si="23"/>
        <v>0</v>
      </c>
    </row>
    <row r="205" spans="2:11" ht="15">
      <c r="B205" s="144" t="s">
        <v>472</v>
      </c>
      <c r="C205" s="132" t="s">
        <v>471</v>
      </c>
      <c r="D205" s="132" t="s">
        <v>473</v>
      </c>
      <c r="E205" s="132">
        <v>5</v>
      </c>
      <c r="F205" s="168">
        <f t="shared" si="24"/>
        <v>0</v>
      </c>
      <c r="G205" s="132">
        <v>0.658</v>
      </c>
      <c r="H205" s="146">
        <f t="shared" si="21"/>
        <v>0</v>
      </c>
      <c r="I205" s="146">
        <v>6.1</v>
      </c>
      <c r="J205" s="147">
        <f t="shared" si="22"/>
        <v>0</v>
      </c>
      <c r="K205" s="148">
        <f t="shared" si="23"/>
        <v>0</v>
      </c>
    </row>
    <row r="206" spans="2:11" ht="15">
      <c r="B206" s="144" t="s">
        <v>474</v>
      </c>
      <c r="C206" s="132" t="s">
        <v>471</v>
      </c>
      <c r="D206" s="132" t="s">
        <v>475</v>
      </c>
      <c r="E206" s="132">
        <v>5</v>
      </c>
      <c r="F206" s="168">
        <f t="shared" si="24"/>
        <v>0</v>
      </c>
      <c r="G206" s="132">
        <v>0.658</v>
      </c>
      <c r="H206" s="146">
        <f t="shared" si="21"/>
        <v>0</v>
      </c>
      <c r="I206" s="146">
        <v>3.2</v>
      </c>
      <c r="J206" s="147">
        <f t="shared" si="22"/>
        <v>0</v>
      </c>
      <c r="K206" s="148">
        <f t="shared" si="23"/>
        <v>0</v>
      </c>
    </row>
    <row r="207" spans="2:11" ht="15">
      <c r="B207" s="144" t="s">
        <v>476</v>
      </c>
      <c r="C207" s="132" t="s">
        <v>447</v>
      </c>
      <c r="D207" s="132" t="s">
        <v>450</v>
      </c>
      <c r="E207" s="132">
        <v>5</v>
      </c>
      <c r="F207" s="168">
        <f t="shared" si="24"/>
        <v>0</v>
      </c>
      <c r="G207" s="132">
        <v>0.658</v>
      </c>
      <c r="H207" s="146">
        <f t="shared" si="21"/>
        <v>0</v>
      </c>
      <c r="I207" s="146">
        <v>6.4</v>
      </c>
      <c r="J207" s="147">
        <f t="shared" si="22"/>
        <v>0</v>
      </c>
      <c r="K207" s="148">
        <f t="shared" si="23"/>
        <v>0</v>
      </c>
    </row>
    <row r="208" spans="2:11" ht="15">
      <c r="B208" s="144" t="s">
        <v>477</v>
      </c>
      <c r="C208" s="132" t="s">
        <v>447</v>
      </c>
      <c r="D208" s="132" t="s">
        <v>473</v>
      </c>
      <c r="E208" s="132">
        <v>5</v>
      </c>
      <c r="F208" s="168">
        <f t="shared" si="24"/>
        <v>0</v>
      </c>
      <c r="G208" s="132">
        <v>0.658</v>
      </c>
      <c r="H208" s="146">
        <f t="shared" si="21"/>
        <v>0</v>
      </c>
      <c r="I208" s="146">
        <v>3.7</v>
      </c>
      <c r="J208" s="147">
        <f t="shared" si="22"/>
        <v>0</v>
      </c>
      <c r="K208" s="148">
        <f t="shared" si="23"/>
        <v>0</v>
      </c>
    </row>
    <row r="209" spans="2:11" ht="15.75" thickBot="1">
      <c r="B209" s="144" t="s">
        <v>478</v>
      </c>
      <c r="C209" s="132" t="s">
        <v>447</v>
      </c>
      <c r="D209" s="132" t="s">
        <v>475</v>
      </c>
      <c r="E209" s="132">
        <v>5</v>
      </c>
      <c r="F209" s="168">
        <f t="shared" si="24"/>
        <v>0</v>
      </c>
      <c r="G209" s="132">
        <v>0.658</v>
      </c>
      <c r="H209" s="146">
        <f t="shared" si="21"/>
        <v>0</v>
      </c>
      <c r="I209" s="146">
        <v>1.9</v>
      </c>
      <c r="J209" s="147">
        <f t="shared" si="22"/>
        <v>0</v>
      </c>
      <c r="K209" s="148">
        <f t="shared" si="23"/>
        <v>0</v>
      </c>
    </row>
    <row r="210" spans="2:11" ht="15.75" thickTop="1">
      <c r="B210" s="149"/>
      <c r="C210" s="150"/>
      <c r="D210" s="150"/>
      <c r="E210" s="150"/>
      <c r="F210" s="150"/>
      <c r="G210" s="150"/>
      <c r="H210" s="150"/>
      <c r="I210" s="151" t="s">
        <v>479</v>
      </c>
      <c r="J210" s="152">
        <f>SUM(J174:J209)</f>
        <v>0</v>
      </c>
      <c r="K210" s="143">
        <f t="shared" si="23"/>
        <v>0</v>
      </c>
    </row>
    <row r="211" spans="2:11" ht="15">
      <c r="B211" s="153"/>
      <c r="C211" s="154"/>
      <c r="D211" s="154"/>
      <c r="E211" s="154"/>
      <c r="F211" s="154"/>
      <c r="G211" s="154"/>
      <c r="H211" s="155"/>
      <c r="I211" s="156"/>
      <c r="J211" s="157"/>
      <c r="K211" s="148"/>
    </row>
    <row r="212" spans="2:11" ht="15.75" thickBot="1">
      <c r="B212" s="158"/>
      <c r="C212" s="159"/>
      <c r="D212" s="159"/>
      <c r="E212" s="159"/>
      <c r="F212" s="159"/>
      <c r="G212" s="159"/>
      <c r="H212" s="160"/>
      <c r="I212" s="161" t="s">
        <v>480</v>
      </c>
      <c r="J212" s="162">
        <f>J210*(44/12)</f>
        <v>0</v>
      </c>
      <c r="K212" s="163">
        <f>J212/2000</f>
        <v>0</v>
      </c>
    </row>
    <row r="213" ht="15.75" thickTop="1"/>
    <row r="214" spans="2:11" ht="15.75" thickBot="1">
      <c r="B214" s="217" t="s">
        <v>486</v>
      </c>
      <c r="C214" s="217"/>
      <c r="D214" s="217"/>
      <c r="E214" s="217"/>
      <c r="F214" s="217"/>
      <c r="G214" s="217"/>
      <c r="H214"/>
      <c r="I214"/>
      <c r="J214"/>
      <c r="K214"/>
    </row>
    <row r="215" spans="2:11" ht="15.75" thickBot="1">
      <c r="B215"/>
      <c r="C215"/>
      <c r="D215"/>
      <c r="E215"/>
      <c r="F215"/>
      <c r="G215"/>
      <c r="H215"/>
      <c r="I215"/>
      <c r="J215"/>
      <c r="K215"/>
    </row>
    <row r="216" spans="2:11" ht="15.75" thickTop="1">
      <c r="B216" s="127" t="s">
        <v>445</v>
      </c>
      <c r="C216" s="128"/>
      <c r="D216" s="128"/>
      <c r="E216" s="129" t="s">
        <v>446</v>
      </c>
      <c r="F216" s="129" t="s">
        <v>447</v>
      </c>
      <c r="G216" s="129" t="s">
        <v>448</v>
      </c>
      <c r="H216" s="129" t="s">
        <v>449</v>
      </c>
      <c r="I216" s="129" t="s">
        <v>450</v>
      </c>
      <c r="J216" s="128" t="s">
        <v>451</v>
      </c>
      <c r="K216" s="173"/>
    </row>
    <row r="217" spans="2:11" ht="15">
      <c r="B217" s="130" t="s">
        <v>452</v>
      </c>
      <c r="C217" s="131" t="s">
        <v>453</v>
      </c>
      <c r="D217" s="131" t="s">
        <v>454</v>
      </c>
      <c r="E217" s="132" t="s">
        <v>455</v>
      </c>
      <c r="F217" s="132" t="s">
        <v>456</v>
      </c>
      <c r="G217" s="132" t="s">
        <v>457</v>
      </c>
      <c r="H217" s="132" t="s">
        <v>458</v>
      </c>
      <c r="I217" s="132" t="s">
        <v>459</v>
      </c>
      <c r="J217" s="133" t="s">
        <v>460</v>
      </c>
      <c r="K217" s="134"/>
    </row>
    <row r="218" spans="2:11" ht="15.75" thickBot="1">
      <c r="B218" s="135"/>
      <c r="C218" s="136" t="s">
        <v>461</v>
      </c>
      <c r="D218" s="136" t="s">
        <v>462</v>
      </c>
      <c r="E218" s="136" t="s">
        <v>463</v>
      </c>
      <c r="F218" s="136" t="s">
        <v>464</v>
      </c>
      <c r="G218" s="132" t="s">
        <v>465</v>
      </c>
      <c r="H218" s="132" t="s">
        <v>466</v>
      </c>
      <c r="I218" s="132" t="s">
        <v>467</v>
      </c>
      <c r="J218" s="137" t="s">
        <v>468</v>
      </c>
      <c r="K218" s="138" t="s">
        <v>469</v>
      </c>
    </row>
    <row r="219" spans="2:11" ht="15.75" thickTop="1">
      <c r="B219" s="139" t="s">
        <v>470</v>
      </c>
      <c r="C219" s="129" t="s">
        <v>471</v>
      </c>
      <c r="D219" s="129" t="s">
        <v>450</v>
      </c>
      <c r="E219" s="129">
        <v>0</v>
      </c>
      <c r="F219" s="140">
        <f>+C22</f>
        <v>0</v>
      </c>
      <c r="G219" s="129">
        <v>0.873</v>
      </c>
      <c r="H219" s="141">
        <f aca="true" t="shared" si="25" ref="H219:H260">F219*G219</f>
        <v>0</v>
      </c>
      <c r="I219" s="129">
        <v>2.7</v>
      </c>
      <c r="J219" s="142">
        <f aca="true" t="shared" si="26" ref="J219:J260">H219*I219</f>
        <v>0</v>
      </c>
      <c r="K219" s="143">
        <f aca="true" t="shared" si="27" ref="K219:K261">J219/2000</f>
        <v>0</v>
      </c>
    </row>
    <row r="220" spans="2:11" ht="15">
      <c r="B220" s="144" t="s">
        <v>472</v>
      </c>
      <c r="C220" s="132" t="s">
        <v>471</v>
      </c>
      <c r="D220" s="132" t="s">
        <v>473</v>
      </c>
      <c r="E220" s="132">
        <v>0</v>
      </c>
      <c r="F220" s="145">
        <f>+D22</f>
        <v>0</v>
      </c>
      <c r="G220" s="132">
        <v>0.873</v>
      </c>
      <c r="H220" s="146">
        <f t="shared" si="25"/>
        <v>0</v>
      </c>
      <c r="I220" s="146">
        <v>1.9</v>
      </c>
      <c r="J220" s="147">
        <f t="shared" si="26"/>
        <v>0</v>
      </c>
      <c r="K220" s="148">
        <f t="shared" si="27"/>
        <v>0</v>
      </c>
    </row>
    <row r="221" spans="2:11" ht="15">
      <c r="B221" s="144" t="s">
        <v>474</v>
      </c>
      <c r="C221" s="132" t="s">
        <v>471</v>
      </c>
      <c r="D221" s="132" t="s">
        <v>475</v>
      </c>
      <c r="E221" s="132">
        <v>0</v>
      </c>
      <c r="F221" s="145">
        <f>+E22</f>
        <v>0</v>
      </c>
      <c r="G221" s="132">
        <v>0.873</v>
      </c>
      <c r="H221" s="146">
        <f t="shared" si="25"/>
        <v>0</v>
      </c>
      <c r="I221" s="146">
        <v>1.3</v>
      </c>
      <c r="J221" s="147">
        <f t="shared" si="26"/>
        <v>0</v>
      </c>
      <c r="K221" s="148">
        <f t="shared" si="27"/>
        <v>0</v>
      </c>
    </row>
    <row r="222" spans="2:11" ht="15">
      <c r="B222" s="144" t="s">
        <v>476</v>
      </c>
      <c r="C222" s="132" t="s">
        <v>447</v>
      </c>
      <c r="D222" s="132" t="s">
        <v>450</v>
      </c>
      <c r="E222" s="132">
        <v>0</v>
      </c>
      <c r="F222" s="145">
        <f>+F22</f>
        <v>0</v>
      </c>
      <c r="G222" s="132">
        <v>0.873</v>
      </c>
      <c r="H222" s="146">
        <f t="shared" si="25"/>
        <v>0</v>
      </c>
      <c r="I222" s="146">
        <v>1.4</v>
      </c>
      <c r="J222" s="147">
        <f t="shared" si="26"/>
        <v>0</v>
      </c>
      <c r="K222" s="148">
        <f t="shared" si="27"/>
        <v>0</v>
      </c>
    </row>
    <row r="223" spans="2:11" ht="15">
      <c r="B223" s="144" t="s">
        <v>477</v>
      </c>
      <c r="C223" s="132" t="s">
        <v>447</v>
      </c>
      <c r="D223" s="132" t="s">
        <v>473</v>
      </c>
      <c r="E223" s="132">
        <v>0</v>
      </c>
      <c r="F223" s="145">
        <f>+G22</f>
        <v>0</v>
      </c>
      <c r="G223" s="132">
        <v>0.873</v>
      </c>
      <c r="H223" s="146">
        <f t="shared" si="25"/>
        <v>0</v>
      </c>
      <c r="I223" s="146">
        <v>1</v>
      </c>
      <c r="J223" s="147">
        <f t="shared" si="26"/>
        <v>0</v>
      </c>
      <c r="K223" s="148">
        <f t="shared" si="27"/>
        <v>0</v>
      </c>
    </row>
    <row r="224" spans="2:11" ht="15">
      <c r="B224" s="144" t="s">
        <v>478</v>
      </c>
      <c r="C224" s="132" t="s">
        <v>447</v>
      </c>
      <c r="D224" s="132" t="s">
        <v>475</v>
      </c>
      <c r="E224" s="132">
        <v>0</v>
      </c>
      <c r="F224" s="145">
        <f>+H22</f>
        <v>0</v>
      </c>
      <c r="G224" s="132">
        <v>0.873</v>
      </c>
      <c r="H224" s="146">
        <f t="shared" si="25"/>
        <v>0</v>
      </c>
      <c r="I224" s="146">
        <v>0.7</v>
      </c>
      <c r="J224" s="147">
        <f t="shared" si="26"/>
        <v>0</v>
      </c>
      <c r="K224" s="148">
        <f t="shared" si="27"/>
        <v>0</v>
      </c>
    </row>
    <row r="225" spans="2:11" ht="15">
      <c r="B225" s="167" t="s">
        <v>470</v>
      </c>
      <c r="C225" s="168" t="s">
        <v>471</v>
      </c>
      <c r="D225" s="168" t="s">
        <v>450</v>
      </c>
      <c r="E225" s="168">
        <v>1</v>
      </c>
      <c r="F225" s="168">
        <f>+F174</f>
        <v>0</v>
      </c>
      <c r="G225" s="168">
        <v>0.798</v>
      </c>
      <c r="H225" s="170">
        <f t="shared" si="25"/>
        <v>0</v>
      </c>
      <c r="I225" s="168">
        <v>4</v>
      </c>
      <c r="J225" s="171">
        <f t="shared" si="26"/>
        <v>0</v>
      </c>
      <c r="K225" s="172">
        <f t="shared" si="27"/>
        <v>0</v>
      </c>
    </row>
    <row r="226" spans="2:11" ht="15">
      <c r="B226" s="144" t="s">
        <v>472</v>
      </c>
      <c r="C226" s="132" t="s">
        <v>471</v>
      </c>
      <c r="D226" s="132" t="s">
        <v>473</v>
      </c>
      <c r="E226" s="132">
        <v>1</v>
      </c>
      <c r="F226" s="168">
        <f aca="true" t="shared" si="28" ref="F226:F260">+F175</f>
        <v>0</v>
      </c>
      <c r="G226" s="132">
        <v>0.798</v>
      </c>
      <c r="H226" s="146">
        <f t="shared" si="25"/>
        <v>0</v>
      </c>
      <c r="I226" s="146">
        <v>2.7</v>
      </c>
      <c r="J226" s="147">
        <f t="shared" si="26"/>
        <v>0</v>
      </c>
      <c r="K226" s="148">
        <f t="shared" si="27"/>
        <v>0</v>
      </c>
    </row>
    <row r="227" spans="2:11" ht="15">
      <c r="B227" s="144" t="s">
        <v>474</v>
      </c>
      <c r="C227" s="132" t="s">
        <v>471</v>
      </c>
      <c r="D227" s="132" t="s">
        <v>475</v>
      </c>
      <c r="E227" s="132">
        <v>1</v>
      </c>
      <c r="F227" s="168">
        <f t="shared" si="28"/>
        <v>0</v>
      </c>
      <c r="G227" s="132">
        <v>0.798</v>
      </c>
      <c r="H227" s="146">
        <f t="shared" si="25"/>
        <v>0</v>
      </c>
      <c r="I227" s="146">
        <v>1.6</v>
      </c>
      <c r="J227" s="147">
        <f t="shared" si="26"/>
        <v>0</v>
      </c>
      <c r="K227" s="148">
        <f t="shared" si="27"/>
        <v>0</v>
      </c>
    </row>
    <row r="228" spans="2:11" ht="15">
      <c r="B228" s="144" t="s">
        <v>476</v>
      </c>
      <c r="C228" s="132" t="s">
        <v>447</v>
      </c>
      <c r="D228" s="132" t="s">
        <v>450</v>
      </c>
      <c r="E228" s="132">
        <v>1</v>
      </c>
      <c r="F228" s="168">
        <f t="shared" si="28"/>
        <v>0</v>
      </c>
      <c r="G228" s="132">
        <v>0.798</v>
      </c>
      <c r="H228" s="146">
        <f t="shared" si="25"/>
        <v>0</v>
      </c>
      <c r="I228" s="146">
        <v>2.2</v>
      </c>
      <c r="J228" s="147">
        <f t="shared" si="26"/>
        <v>0</v>
      </c>
      <c r="K228" s="148">
        <f t="shared" si="27"/>
        <v>0</v>
      </c>
    </row>
    <row r="229" spans="2:11" ht="15">
      <c r="B229" s="144" t="s">
        <v>477</v>
      </c>
      <c r="C229" s="132" t="s">
        <v>447</v>
      </c>
      <c r="D229" s="132" t="s">
        <v>473</v>
      </c>
      <c r="E229" s="132">
        <v>1</v>
      </c>
      <c r="F229" s="168">
        <f t="shared" si="28"/>
        <v>0</v>
      </c>
      <c r="G229" s="132">
        <v>0.798</v>
      </c>
      <c r="H229" s="146">
        <f t="shared" si="25"/>
        <v>0</v>
      </c>
      <c r="I229" s="146">
        <v>1.5</v>
      </c>
      <c r="J229" s="147">
        <f t="shared" si="26"/>
        <v>0</v>
      </c>
      <c r="K229" s="148">
        <f t="shared" si="27"/>
        <v>0</v>
      </c>
    </row>
    <row r="230" spans="2:11" ht="15">
      <c r="B230" s="144" t="s">
        <v>478</v>
      </c>
      <c r="C230" s="132" t="s">
        <v>447</v>
      </c>
      <c r="D230" s="132" t="s">
        <v>475</v>
      </c>
      <c r="E230" s="132">
        <v>1</v>
      </c>
      <c r="F230" s="168">
        <f t="shared" si="28"/>
        <v>0</v>
      </c>
      <c r="G230" s="132">
        <v>0.798</v>
      </c>
      <c r="H230" s="146">
        <f t="shared" si="25"/>
        <v>0</v>
      </c>
      <c r="I230" s="146">
        <v>0.9</v>
      </c>
      <c r="J230" s="147">
        <f t="shared" si="26"/>
        <v>0</v>
      </c>
      <c r="K230" s="148">
        <f t="shared" si="27"/>
        <v>0</v>
      </c>
    </row>
    <row r="231" spans="2:11" ht="15">
      <c r="B231" s="167" t="s">
        <v>470</v>
      </c>
      <c r="C231" s="168" t="s">
        <v>471</v>
      </c>
      <c r="D231" s="168" t="s">
        <v>450</v>
      </c>
      <c r="E231" s="168">
        <v>2</v>
      </c>
      <c r="F231" s="168">
        <f t="shared" si="28"/>
        <v>0</v>
      </c>
      <c r="G231" s="168">
        <v>0.736</v>
      </c>
      <c r="H231" s="170">
        <f t="shared" si="25"/>
        <v>0</v>
      </c>
      <c r="I231" s="168">
        <v>5.4</v>
      </c>
      <c r="J231" s="171">
        <f t="shared" si="26"/>
        <v>0</v>
      </c>
      <c r="K231" s="172">
        <f t="shared" si="27"/>
        <v>0</v>
      </c>
    </row>
    <row r="232" spans="2:11" ht="15">
      <c r="B232" s="144" t="s">
        <v>472</v>
      </c>
      <c r="C232" s="132" t="s">
        <v>471</v>
      </c>
      <c r="D232" s="132" t="s">
        <v>473</v>
      </c>
      <c r="E232" s="132">
        <v>2</v>
      </c>
      <c r="F232" s="168">
        <f t="shared" si="28"/>
        <v>0</v>
      </c>
      <c r="G232" s="132">
        <v>0.736</v>
      </c>
      <c r="H232" s="146">
        <f t="shared" si="25"/>
        <v>0</v>
      </c>
      <c r="I232" s="146">
        <v>3.5</v>
      </c>
      <c r="J232" s="147">
        <f t="shared" si="26"/>
        <v>0</v>
      </c>
      <c r="K232" s="148">
        <f t="shared" si="27"/>
        <v>0</v>
      </c>
    </row>
    <row r="233" spans="2:11" ht="15">
      <c r="B233" s="144" t="s">
        <v>474</v>
      </c>
      <c r="C233" s="132" t="s">
        <v>471</v>
      </c>
      <c r="D233" s="132" t="s">
        <v>475</v>
      </c>
      <c r="E233" s="132">
        <v>2</v>
      </c>
      <c r="F233" s="168">
        <f t="shared" si="28"/>
        <v>0</v>
      </c>
      <c r="G233" s="132">
        <v>0.736</v>
      </c>
      <c r="H233" s="146">
        <f t="shared" si="25"/>
        <v>0</v>
      </c>
      <c r="I233" s="146">
        <v>2</v>
      </c>
      <c r="J233" s="147">
        <f t="shared" si="26"/>
        <v>0</v>
      </c>
      <c r="K233" s="148">
        <f t="shared" si="27"/>
        <v>0</v>
      </c>
    </row>
    <row r="234" spans="2:11" ht="15">
      <c r="B234" s="144" t="s">
        <v>476</v>
      </c>
      <c r="C234" s="132" t="s">
        <v>447</v>
      </c>
      <c r="D234" s="132" t="s">
        <v>450</v>
      </c>
      <c r="E234" s="132">
        <v>2</v>
      </c>
      <c r="F234" s="168">
        <f t="shared" si="28"/>
        <v>0</v>
      </c>
      <c r="G234" s="132">
        <v>0.736</v>
      </c>
      <c r="H234" s="146">
        <f t="shared" si="25"/>
        <v>0</v>
      </c>
      <c r="I234" s="146">
        <v>3.1</v>
      </c>
      <c r="J234" s="147">
        <f t="shared" si="26"/>
        <v>0</v>
      </c>
      <c r="K234" s="148">
        <f t="shared" si="27"/>
        <v>0</v>
      </c>
    </row>
    <row r="235" spans="2:11" ht="15">
      <c r="B235" s="144" t="s">
        <v>477</v>
      </c>
      <c r="C235" s="132" t="s">
        <v>447</v>
      </c>
      <c r="D235" s="132" t="s">
        <v>473</v>
      </c>
      <c r="E235" s="132">
        <v>2</v>
      </c>
      <c r="F235" s="168">
        <f t="shared" si="28"/>
        <v>0</v>
      </c>
      <c r="G235" s="132">
        <v>0.736</v>
      </c>
      <c r="H235" s="146">
        <f t="shared" si="25"/>
        <v>0</v>
      </c>
      <c r="I235" s="146">
        <v>2</v>
      </c>
      <c r="J235" s="147">
        <f t="shared" si="26"/>
        <v>0</v>
      </c>
      <c r="K235" s="148">
        <f t="shared" si="27"/>
        <v>0</v>
      </c>
    </row>
    <row r="236" spans="2:11" ht="15">
      <c r="B236" s="144" t="s">
        <v>478</v>
      </c>
      <c r="C236" s="132" t="s">
        <v>447</v>
      </c>
      <c r="D236" s="132" t="s">
        <v>475</v>
      </c>
      <c r="E236" s="132">
        <v>2</v>
      </c>
      <c r="F236" s="168">
        <f t="shared" si="28"/>
        <v>0</v>
      </c>
      <c r="G236" s="132">
        <v>0.736</v>
      </c>
      <c r="H236" s="146">
        <f t="shared" si="25"/>
        <v>0</v>
      </c>
      <c r="I236" s="146">
        <v>1.1</v>
      </c>
      <c r="J236" s="147">
        <f t="shared" si="26"/>
        <v>0</v>
      </c>
      <c r="K236" s="148">
        <f t="shared" si="27"/>
        <v>0</v>
      </c>
    </row>
    <row r="237" spans="2:11" ht="15">
      <c r="B237" s="167" t="s">
        <v>470</v>
      </c>
      <c r="C237" s="168" t="s">
        <v>471</v>
      </c>
      <c r="D237" s="168" t="s">
        <v>450</v>
      </c>
      <c r="E237" s="168">
        <v>3</v>
      </c>
      <c r="F237" s="168">
        <f t="shared" si="28"/>
        <v>0</v>
      </c>
      <c r="G237" s="168">
        <v>0.706</v>
      </c>
      <c r="H237" s="170">
        <f t="shared" si="25"/>
        <v>0</v>
      </c>
      <c r="I237" s="168">
        <v>6.9</v>
      </c>
      <c r="J237" s="171">
        <f t="shared" si="26"/>
        <v>0</v>
      </c>
      <c r="K237" s="172">
        <f t="shared" si="27"/>
        <v>0</v>
      </c>
    </row>
    <row r="238" spans="2:11" ht="15">
      <c r="B238" s="144" t="s">
        <v>472</v>
      </c>
      <c r="C238" s="132" t="s">
        <v>471</v>
      </c>
      <c r="D238" s="132" t="s">
        <v>473</v>
      </c>
      <c r="E238" s="132">
        <v>3</v>
      </c>
      <c r="F238" s="168">
        <f t="shared" si="28"/>
        <v>0</v>
      </c>
      <c r="G238" s="132">
        <v>0.706</v>
      </c>
      <c r="H238" s="146">
        <f t="shared" si="25"/>
        <v>0</v>
      </c>
      <c r="I238" s="146">
        <v>4.3</v>
      </c>
      <c r="J238" s="147">
        <f t="shared" si="26"/>
        <v>0</v>
      </c>
      <c r="K238" s="148">
        <f t="shared" si="27"/>
        <v>0</v>
      </c>
    </row>
    <row r="239" spans="2:11" ht="15">
      <c r="B239" s="144" t="s">
        <v>474</v>
      </c>
      <c r="C239" s="132" t="s">
        <v>471</v>
      </c>
      <c r="D239" s="132" t="s">
        <v>475</v>
      </c>
      <c r="E239" s="132">
        <v>3</v>
      </c>
      <c r="F239" s="168">
        <f t="shared" si="28"/>
        <v>0</v>
      </c>
      <c r="G239" s="132">
        <v>0.706</v>
      </c>
      <c r="H239" s="146">
        <f t="shared" si="25"/>
        <v>0</v>
      </c>
      <c r="I239" s="146">
        <v>2.4</v>
      </c>
      <c r="J239" s="147">
        <f t="shared" si="26"/>
        <v>0</v>
      </c>
      <c r="K239" s="148">
        <f t="shared" si="27"/>
        <v>0</v>
      </c>
    </row>
    <row r="240" spans="2:11" ht="15">
      <c r="B240" s="144" t="s">
        <v>476</v>
      </c>
      <c r="C240" s="132" t="s">
        <v>447</v>
      </c>
      <c r="D240" s="132" t="s">
        <v>450</v>
      </c>
      <c r="E240" s="132">
        <v>3</v>
      </c>
      <c r="F240" s="168">
        <f t="shared" si="28"/>
        <v>0</v>
      </c>
      <c r="G240" s="132">
        <v>0.706</v>
      </c>
      <c r="H240" s="146">
        <f t="shared" si="25"/>
        <v>0</v>
      </c>
      <c r="I240" s="146">
        <v>4.1</v>
      </c>
      <c r="J240" s="147">
        <f t="shared" si="26"/>
        <v>0</v>
      </c>
      <c r="K240" s="148">
        <f t="shared" si="27"/>
        <v>0</v>
      </c>
    </row>
    <row r="241" spans="2:11" ht="15">
      <c r="B241" s="144" t="s">
        <v>477</v>
      </c>
      <c r="C241" s="132" t="s">
        <v>447</v>
      </c>
      <c r="D241" s="132" t="s">
        <v>473</v>
      </c>
      <c r="E241" s="132">
        <v>3</v>
      </c>
      <c r="F241" s="168">
        <f t="shared" si="28"/>
        <v>0</v>
      </c>
      <c r="G241" s="132">
        <v>0.706</v>
      </c>
      <c r="H241" s="146">
        <f t="shared" si="25"/>
        <v>0</v>
      </c>
      <c r="I241" s="146">
        <v>2.5</v>
      </c>
      <c r="J241" s="147">
        <f t="shared" si="26"/>
        <v>0</v>
      </c>
      <c r="K241" s="148">
        <f t="shared" si="27"/>
        <v>0</v>
      </c>
    </row>
    <row r="242" spans="2:11" ht="15">
      <c r="B242" s="144" t="s">
        <v>478</v>
      </c>
      <c r="C242" s="132" t="s">
        <v>447</v>
      </c>
      <c r="D242" s="132" t="s">
        <v>475</v>
      </c>
      <c r="E242" s="132">
        <v>3</v>
      </c>
      <c r="F242" s="168">
        <f t="shared" si="28"/>
        <v>0</v>
      </c>
      <c r="G242" s="132">
        <v>0.706</v>
      </c>
      <c r="H242" s="146">
        <f t="shared" si="25"/>
        <v>0</v>
      </c>
      <c r="I242" s="146">
        <v>1.4</v>
      </c>
      <c r="J242" s="147">
        <f t="shared" si="26"/>
        <v>0</v>
      </c>
      <c r="K242" s="148">
        <f t="shared" si="27"/>
        <v>0</v>
      </c>
    </row>
    <row r="243" spans="2:11" ht="15">
      <c r="B243" s="167" t="s">
        <v>470</v>
      </c>
      <c r="C243" s="168" t="s">
        <v>471</v>
      </c>
      <c r="D243" s="168" t="s">
        <v>450</v>
      </c>
      <c r="E243" s="168">
        <v>4</v>
      </c>
      <c r="F243" s="168">
        <f t="shared" si="28"/>
        <v>0</v>
      </c>
      <c r="G243" s="168">
        <v>0.678</v>
      </c>
      <c r="H243" s="170">
        <f t="shared" si="25"/>
        <v>0</v>
      </c>
      <c r="I243" s="168">
        <v>8.5</v>
      </c>
      <c r="J243" s="171">
        <f t="shared" si="26"/>
        <v>0</v>
      </c>
      <c r="K243" s="172">
        <f t="shared" si="27"/>
        <v>0</v>
      </c>
    </row>
    <row r="244" spans="2:11" ht="15">
      <c r="B244" s="144" t="s">
        <v>472</v>
      </c>
      <c r="C244" s="132" t="s">
        <v>471</v>
      </c>
      <c r="D244" s="132" t="s">
        <v>473</v>
      </c>
      <c r="E244" s="132">
        <v>4</v>
      </c>
      <c r="F244" s="168">
        <f t="shared" si="28"/>
        <v>0</v>
      </c>
      <c r="G244" s="132">
        <v>0.678</v>
      </c>
      <c r="H244" s="146">
        <f t="shared" si="25"/>
        <v>0</v>
      </c>
      <c r="I244" s="146">
        <v>5.2</v>
      </c>
      <c r="J244" s="147">
        <f t="shared" si="26"/>
        <v>0</v>
      </c>
      <c r="K244" s="148">
        <f t="shared" si="27"/>
        <v>0</v>
      </c>
    </row>
    <row r="245" spans="2:11" ht="15">
      <c r="B245" s="144" t="s">
        <v>474</v>
      </c>
      <c r="C245" s="132" t="s">
        <v>471</v>
      </c>
      <c r="D245" s="132" t="s">
        <v>475</v>
      </c>
      <c r="E245" s="132">
        <v>4</v>
      </c>
      <c r="F245" s="168">
        <f t="shared" si="28"/>
        <v>0</v>
      </c>
      <c r="G245" s="132">
        <v>0.678</v>
      </c>
      <c r="H245" s="146">
        <f t="shared" si="25"/>
        <v>0</v>
      </c>
      <c r="I245" s="146">
        <v>2.8</v>
      </c>
      <c r="J245" s="147">
        <f t="shared" si="26"/>
        <v>0</v>
      </c>
      <c r="K245" s="148">
        <f t="shared" si="27"/>
        <v>0</v>
      </c>
    </row>
    <row r="246" spans="2:11" ht="15">
      <c r="B246" s="144" t="s">
        <v>476</v>
      </c>
      <c r="C246" s="132" t="s">
        <v>447</v>
      </c>
      <c r="D246" s="132" t="s">
        <v>450</v>
      </c>
      <c r="E246" s="132">
        <v>4</v>
      </c>
      <c r="F246" s="168">
        <f t="shared" si="28"/>
        <v>0</v>
      </c>
      <c r="G246" s="132">
        <v>0.678</v>
      </c>
      <c r="H246" s="146">
        <f t="shared" si="25"/>
        <v>0</v>
      </c>
      <c r="I246" s="146">
        <v>5.2</v>
      </c>
      <c r="J246" s="147">
        <f t="shared" si="26"/>
        <v>0</v>
      </c>
      <c r="K246" s="148">
        <f t="shared" si="27"/>
        <v>0</v>
      </c>
    </row>
    <row r="247" spans="2:11" ht="15">
      <c r="B247" s="144" t="s">
        <v>477</v>
      </c>
      <c r="C247" s="132" t="s">
        <v>447</v>
      </c>
      <c r="D247" s="132" t="s">
        <v>473</v>
      </c>
      <c r="E247" s="132">
        <v>4</v>
      </c>
      <c r="F247" s="168">
        <f t="shared" si="28"/>
        <v>0</v>
      </c>
      <c r="G247" s="132">
        <v>0.678</v>
      </c>
      <c r="H247" s="146">
        <f t="shared" si="25"/>
        <v>0</v>
      </c>
      <c r="I247" s="146">
        <v>3.1</v>
      </c>
      <c r="J247" s="147">
        <f t="shared" si="26"/>
        <v>0</v>
      </c>
      <c r="K247" s="148">
        <f t="shared" si="27"/>
        <v>0</v>
      </c>
    </row>
    <row r="248" spans="2:11" ht="15">
      <c r="B248" s="144" t="s">
        <v>478</v>
      </c>
      <c r="C248" s="132" t="s">
        <v>447</v>
      </c>
      <c r="D248" s="132" t="s">
        <v>475</v>
      </c>
      <c r="E248" s="132">
        <v>4</v>
      </c>
      <c r="F248" s="168">
        <f t="shared" si="28"/>
        <v>0</v>
      </c>
      <c r="G248" s="132">
        <v>0.678</v>
      </c>
      <c r="H248" s="146">
        <f t="shared" si="25"/>
        <v>0</v>
      </c>
      <c r="I248" s="146">
        <v>1.6</v>
      </c>
      <c r="J248" s="147">
        <f t="shared" si="26"/>
        <v>0</v>
      </c>
      <c r="K248" s="148">
        <f t="shared" si="27"/>
        <v>0</v>
      </c>
    </row>
    <row r="249" spans="2:11" ht="15">
      <c r="B249" s="167" t="s">
        <v>470</v>
      </c>
      <c r="C249" s="168" t="s">
        <v>471</v>
      </c>
      <c r="D249" s="168" t="s">
        <v>450</v>
      </c>
      <c r="E249" s="168">
        <v>5</v>
      </c>
      <c r="F249" s="168">
        <f t="shared" si="28"/>
        <v>0</v>
      </c>
      <c r="G249" s="168">
        <v>0.658</v>
      </c>
      <c r="H249" s="170">
        <f t="shared" si="25"/>
        <v>0</v>
      </c>
      <c r="I249" s="168">
        <v>10.1</v>
      </c>
      <c r="J249" s="171">
        <f t="shared" si="26"/>
        <v>0</v>
      </c>
      <c r="K249" s="172">
        <f t="shared" si="27"/>
        <v>0</v>
      </c>
    </row>
    <row r="250" spans="2:11" ht="15">
      <c r="B250" s="144" t="s">
        <v>472</v>
      </c>
      <c r="C250" s="132" t="s">
        <v>471</v>
      </c>
      <c r="D250" s="132" t="s">
        <v>473</v>
      </c>
      <c r="E250" s="132">
        <v>5</v>
      </c>
      <c r="F250" s="168">
        <f t="shared" si="28"/>
        <v>0</v>
      </c>
      <c r="G250" s="132">
        <v>0.658</v>
      </c>
      <c r="H250" s="146">
        <f t="shared" si="25"/>
        <v>0</v>
      </c>
      <c r="I250" s="146">
        <v>6.1</v>
      </c>
      <c r="J250" s="147">
        <f t="shared" si="26"/>
        <v>0</v>
      </c>
      <c r="K250" s="148">
        <f t="shared" si="27"/>
        <v>0</v>
      </c>
    </row>
    <row r="251" spans="2:11" ht="15">
      <c r="B251" s="144" t="s">
        <v>474</v>
      </c>
      <c r="C251" s="132" t="s">
        <v>471</v>
      </c>
      <c r="D251" s="132" t="s">
        <v>475</v>
      </c>
      <c r="E251" s="132">
        <v>5</v>
      </c>
      <c r="F251" s="168">
        <f t="shared" si="28"/>
        <v>0</v>
      </c>
      <c r="G251" s="132">
        <v>0.658</v>
      </c>
      <c r="H251" s="146">
        <f t="shared" si="25"/>
        <v>0</v>
      </c>
      <c r="I251" s="146">
        <v>3.2</v>
      </c>
      <c r="J251" s="147">
        <f t="shared" si="26"/>
        <v>0</v>
      </c>
      <c r="K251" s="148">
        <f t="shared" si="27"/>
        <v>0</v>
      </c>
    </row>
    <row r="252" spans="2:11" ht="15">
      <c r="B252" s="144" t="s">
        <v>476</v>
      </c>
      <c r="C252" s="132" t="s">
        <v>447</v>
      </c>
      <c r="D252" s="132" t="s">
        <v>450</v>
      </c>
      <c r="E252" s="132">
        <v>5</v>
      </c>
      <c r="F252" s="168">
        <f t="shared" si="28"/>
        <v>0</v>
      </c>
      <c r="G252" s="132">
        <v>0.658</v>
      </c>
      <c r="H252" s="146">
        <f t="shared" si="25"/>
        <v>0</v>
      </c>
      <c r="I252" s="146">
        <v>6.4</v>
      </c>
      <c r="J252" s="147">
        <f t="shared" si="26"/>
        <v>0</v>
      </c>
      <c r="K252" s="148">
        <f t="shared" si="27"/>
        <v>0</v>
      </c>
    </row>
    <row r="253" spans="2:11" ht="15">
      <c r="B253" s="144" t="s">
        <v>477</v>
      </c>
      <c r="C253" s="132" t="s">
        <v>447</v>
      </c>
      <c r="D253" s="132" t="s">
        <v>473</v>
      </c>
      <c r="E253" s="132">
        <v>5</v>
      </c>
      <c r="F253" s="168">
        <f t="shared" si="28"/>
        <v>0</v>
      </c>
      <c r="G253" s="132">
        <v>0.658</v>
      </c>
      <c r="H253" s="146">
        <f t="shared" si="25"/>
        <v>0</v>
      </c>
      <c r="I253" s="146">
        <v>3.7</v>
      </c>
      <c r="J253" s="147">
        <f t="shared" si="26"/>
        <v>0</v>
      </c>
      <c r="K253" s="148">
        <f t="shared" si="27"/>
        <v>0</v>
      </c>
    </row>
    <row r="254" spans="2:11" ht="15">
      <c r="B254" s="144" t="s">
        <v>478</v>
      </c>
      <c r="C254" s="132" t="s">
        <v>447</v>
      </c>
      <c r="D254" s="132" t="s">
        <v>475</v>
      </c>
      <c r="E254" s="132">
        <v>5</v>
      </c>
      <c r="F254" s="168">
        <f t="shared" si="28"/>
        <v>0</v>
      </c>
      <c r="G254" s="132">
        <v>0.658</v>
      </c>
      <c r="H254" s="146">
        <f t="shared" si="25"/>
        <v>0</v>
      </c>
      <c r="I254" s="146">
        <v>1.9</v>
      </c>
      <c r="J254" s="147">
        <f t="shared" si="26"/>
        <v>0</v>
      </c>
      <c r="K254" s="148">
        <f t="shared" si="27"/>
        <v>0</v>
      </c>
    </row>
    <row r="255" spans="2:11" ht="15">
      <c r="B255" s="167" t="s">
        <v>470</v>
      </c>
      <c r="C255" s="168" t="s">
        <v>471</v>
      </c>
      <c r="D255" s="168" t="s">
        <v>450</v>
      </c>
      <c r="E255" s="168">
        <v>6</v>
      </c>
      <c r="F255" s="168">
        <f t="shared" si="28"/>
        <v>0</v>
      </c>
      <c r="G255" s="168">
        <v>0.644</v>
      </c>
      <c r="H255" s="170">
        <f t="shared" si="25"/>
        <v>0</v>
      </c>
      <c r="I255" s="168">
        <v>11.8</v>
      </c>
      <c r="J255" s="171">
        <f t="shared" si="26"/>
        <v>0</v>
      </c>
      <c r="K255" s="172">
        <f t="shared" si="27"/>
        <v>0</v>
      </c>
    </row>
    <row r="256" spans="2:11" ht="15">
      <c r="B256" s="144" t="s">
        <v>472</v>
      </c>
      <c r="C256" s="132" t="s">
        <v>471</v>
      </c>
      <c r="D256" s="132" t="s">
        <v>473</v>
      </c>
      <c r="E256" s="132">
        <v>6</v>
      </c>
      <c r="F256" s="168">
        <f t="shared" si="28"/>
        <v>0</v>
      </c>
      <c r="G256" s="132">
        <v>0.639</v>
      </c>
      <c r="H256" s="146">
        <f t="shared" si="25"/>
        <v>0</v>
      </c>
      <c r="I256" s="146">
        <v>7.1</v>
      </c>
      <c r="J256" s="147">
        <f t="shared" si="26"/>
        <v>0</v>
      </c>
      <c r="K256" s="148">
        <f t="shared" si="27"/>
        <v>0</v>
      </c>
    </row>
    <row r="257" spans="2:11" ht="15">
      <c r="B257" s="144" t="s">
        <v>474</v>
      </c>
      <c r="C257" s="132" t="s">
        <v>471</v>
      </c>
      <c r="D257" s="132" t="s">
        <v>475</v>
      </c>
      <c r="E257" s="132">
        <v>6</v>
      </c>
      <c r="F257" s="168">
        <f t="shared" si="28"/>
        <v>0</v>
      </c>
      <c r="G257" s="132">
        <v>0.639</v>
      </c>
      <c r="H257" s="146">
        <f t="shared" si="25"/>
        <v>0</v>
      </c>
      <c r="I257" s="146">
        <v>3.7</v>
      </c>
      <c r="J257" s="147">
        <f t="shared" si="26"/>
        <v>0</v>
      </c>
      <c r="K257" s="148">
        <f t="shared" si="27"/>
        <v>0</v>
      </c>
    </row>
    <row r="258" spans="2:11" ht="15">
      <c r="B258" s="144" t="s">
        <v>476</v>
      </c>
      <c r="C258" s="132" t="s">
        <v>447</v>
      </c>
      <c r="D258" s="132" t="s">
        <v>450</v>
      </c>
      <c r="E258" s="132">
        <v>6</v>
      </c>
      <c r="F258" s="168">
        <f t="shared" si="28"/>
        <v>0</v>
      </c>
      <c r="G258" s="132">
        <v>0.644</v>
      </c>
      <c r="H258" s="146">
        <f t="shared" si="25"/>
        <v>0</v>
      </c>
      <c r="I258" s="146">
        <v>7.6</v>
      </c>
      <c r="J258" s="147">
        <f t="shared" si="26"/>
        <v>0</v>
      </c>
      <c r="K258" s="148">
        <f t="shared" si="27"/>
        <v>0</v>
      </c>
    </row>
    <row r="259" spans="2:11" ht="15">
      <c r="B259" s="144" t="s">
        <v>477</v>
      </c>
      <c r="C259" s="132" t="s">
        <v>447</v>
      </c>
      <c r="D259" s="132" t="s">
        <v>473</v>
      </c>
      <c r="E259" s="132">
        <v>6</v>
      </c>
      <c r="F259" s="168">
        <f t="shared" si="28"/>
        <v>0</v>
      </c>
      <c r="G259" s="132">
        <v>0.639</v>
      </c>
      <c r="H259" s="146">
        <f t="shared" si="25"/>
        <v>0</v>
      </c>
      <c r="I259" s="146">
        <v>4.4</v>
      </c>
      <c r="J259" s="147">
        <f t="shared" si="26"/>
        <v>0</v>
      </c>
      <c r="K259" s="148">
        <f t="shared" si="27"/>
        <v>0</v>
      </c>
    </row>
    <row r="260" spans="2:11" ht="15.75" thickBot="1">
      <c r="B260" s="144" t="s">
        <v>478</v>
      </c>
      <c r="C260" s="132" t="s">
        <v>447</v>
      </c>
      <c r="D260" s="132" t="s">
        <v>475</v>
      </c>
      <c r="E260" s="132">
        <v>6</v>
      </c>
      <c r="F260" s="168">
        <f t="shared" si="28"/>
        <v>0</v>
      </c>
      <c r="G260" s="132">
        <v>0.639</v>
      </c>
      <c r="H260" s="146">
        <f t="shared" si="25"/>
        <v>0</v>
      </c>
      <c r="I260" s="146">
        <v>2.2</v>
      </c>
      <c r="J260" s="147">
        <f t="shared" si="26"/>
        <v>0</v>
      </c>
      <c r="K260" s="148">
        <f t="shared" si="27"/>
        <v>0</v>
      </c>
    </row>
    <row r="261" spans="2:11" ht="15.75" thickTop="1">
      <c r="B261" s="149"/>
      <c r="C261" s="150"/>
      <c r="D261" s="150"/>
      <c r="E261" s="150"/>
      <c r="F261" s="150"/>
      <c r="G261" s="150"/>
      <c r="H261" s="150"/>
      <c r="I261" s="151" t="s">
        <v>479</v>
      </c>
      <c r="J261" s="152">
        <f>SUM(J219:J260)</f>
        <v>0</v>
      </c>
      <c r="K261" s="143">
        <f t="shared" si="27"/>
        <v>0</v>
      </c>
    </row>
    <row r="262" spans="2:11" ht="15">
      <c r="B262" s="153"/>
      <c r="C262" s="154"/>
      <c r="D262" s="154"/>
      <c r="E262" s="154"/>
      <c r="F262" s="154"/>
      <c r="G262" s="154"/>
      <c r="H262" s="155"/>
      <c r="I262" s="156"/>
      <c r="J262" s="157"/>
      <c r="K262" s="148"/>
    </row>
    <row r="263" spans="2:11" ht="15.75" thickBot="1">
      <c r="B263" s="158"/>
      <c r="C263" s="159"/>
      <c r="D263" s="159"/>
      <c r="E263" s="159"/>
      <c r="F263" s="159"/>
      <c r="G263" s="159"/>
      <c r="H263" s="160"/>
      <c r="I263" s="161" t="s">
        <v>480</v>
      </c>
      <c r="J263" s="162">
        <f>J261*(44/12)</f>
        <v>0</v>
      </c>
      <c r="K263" s="163">
        <f>J263/2000</f>
        <v>0</v>
      </c>
    </row>
    <row r="264" ht="15.75" thickTop="1"/>
    <row r="265" spans="2:11" ht="15.75" thickBot="1">
      <c r="B265" s="217" t="s">
        <v>487</v>
      </c>
      <c r="C265" s="217"/>
      <c r="D265" s="217"/>
      <c r="E265" s="217"/>
      <c r="F265" s="217"/>
      <c r="G265" s="217"/>
      <c r="H265"/>
      <c r="I265"/>
      <c r="J265"/>
      <c r="K265"/>
    </row>
    <row r="266" spans="2:11" ht="15.75" thickBot="1">
      <c r="B266"/>
      <c r="C266"/>
      <c r="D266"/>
      <c r="E266"/>
      <c r="F266"/>
      <c r="G266"/>
      <c r="H266"/>
      <c r="I266"/>
      <c r="J266"/>
      <c r="K266"/>
    </row>
    <row r="267" spans="2:11" ht="15.75" thickTop="1">
      <c r="B267" s="127" t="s">
        <v>445</v>
      </c>
      <c r="C267" s="128"/>
      <c r="D267" s="128"/>
      <c r="E267" s="129" t="s">
        <v>446</v>
      </c>
      <c r="F267" s="129" t="s">
        <v>447</v>
      </c>
      <c r="G267" s="174" t="s">
        <v>448</v>
      </c>
      <c r="H267" s="129" t="s">
        <v>449</v>
      </c>
      <c r="I267" s="129" t="s">
        <v>450</v>
      </c>
      <c r="J267" s="128" t="s">
        <v>451</v>
      </c>
      <c r="K267" s="173"/>
    </row>
    <row r="268" spans="2:11" ht="15">
      <c r="B268" s="130" t="s">
        <v>452</v>
      </c>
      <c r="C268" s="131" t="s">
        <v>453</v>
      </c>
      <c r="D268" s="131" t="s">
        <v>454</v>
      </c>
      <c r="E268" s="132" t="s">
        <v>455</v>
      </c>
      <c r="F268" s="132" t="s">
        <v>456</v>
      </c>
      <c r="G268" s="175" t="s">
        <v>457</v>
      </c>
      <c r="H268" s="132" t="s">
        <v>458</v>
      </c>
      <c r="I268" s="132" t="s">
        <v>459</v>
      </c>
      <c r="J268" s="133" t="s">
        <v>460</v>
      </c>
      <c r="K268" s="134"/>
    </row>
    <row r="269" spans="2:11" ht="15.75" thickBot="1">
      <c r="B269" s="135"/>
      <c r="C269" s="136" t="s">
        <v>461</v>
      </c>
      <c r="D269" s="136" t="s">
        <v>462</v>
      </c>
      <c r="E269" s="136" t="s">
        <v>463</v>
      </c>
      <c r="F269" s="136" t="s">
        <v>464</v>
      </c>
      <c r="G269" s="175" t="s">
        <v>465</v>
      </c>
      <c r="H269" s="132" t="s">
        <v>466</v>
      </c>
      <c r="I269" s="132" t="s">
        <v>467</v>
      </c>
      <c r="J269" s="137" t="s">
        <v>468</v>
      </c>
      <c r="K269" s="138" t="s">
        <v>469</v>
      </c>
    </row>
    <row r="270" spans="2:11" ht="15.75" thickTop="1">
      <c r="B270" s="139" t="s">
        <v>470</v>
      </c>
      <c r="C270" s="129" t="s">
        <v>471</v>
      </c>
      <c r="D270" s="129" t="s">
        <v>450</v>
      </c>
      <c r="E270" s="129">
        <v>0</v>
      </c>
      <c r="F270" s="140">
        <f>+C23</f>
        <v>0</v>
      </c>
      <c r="G270" s="174">
        <v>0.873</v>
      </c>
      <c r="H270" s="141">
        <f aca="true" t="shared" si="29" ref="H270:H317">F270*G270</f>
        <v>0</v>
      </c>
      <c r="I270" s="129">
        <v>2.7</v>
      </c>
      <c r="J270" s="142">
        <f aca="true" t="shared" si="30" ref="J270:J317">H270*I270</f>
        <v>0</v>
      </c>
      <c r="K270" s="143">
        <f aca="true" t="shared" si="31" ref="K270:K318">J270/2000</f>
        <v>0</v>
      </c>
    </row>
    <row r="271" spans="2:11" ht="15">
      <c r="B271" s="144" t="s">
        <v>472</v>
      </c>
      <c r="C271" s="132" t="s">
        <v>471</v>
      </c>
      <c r="D271" s="132" t="s">
        <v>473</v>
      </c>
      <c r="E271" s="132">
        <v>0</v>
      </c>
      <c r="F271" s="145">
        <f>+D23</f>
        <v>0</v>
      </c>
      <c r="G271" s="175">
        <v>0.873</v>
      </c>
      <c r="H271" s="146">
        <f t="shared" si="29"/>
        <v>0</v>
      </c>
      <c r="I271" s="146">
        <v>1.9</v>
      </c>
      <c r="J271" s="147">
        <f t="shared" si="30"/>
        <v>0</v>
      </c>
      <c r="K271" s="148">
        <f t="shared" si="31"/>
        <v>0</v>
      </c>
    </row>
    <row r="272" spans="2:11" ht="15">
      <c r="B272" s="144" t="s">
        <v>474</v>
      </c>
      <c r="C272" s="132" t="s">
        <v>471</v>
      </c>
      <c r="D272" s="132" t="s">
        <v>475</v>
      </c>
      <c r="E272" s="132">
        <v>0</v>
      </c>
      <c r="F272" s="145">
        <f>+E23</f>
        <v>0</v>
      </c>
      <c r="G272" s="175">
        <v>0.873</v>
      </c>
      <c r="H272" s="146">
        <f t="shared" si="29"/>
        <v>0</v>
      </c>
      <c r="I272" s="146">
        <v>1.3</v>
      </c>
      <c r="J272" s="147">
        <f t="shared" si="30"/>
        <v>0</v>
      </c>
      <c r="K272" s="148">
        <f t="shared" si="31"/>
        <v>0</v>
      </c>
    </row>
    <row r="273" spans="2:11" ht="15">
      <c r="B273" s="144" t="s">
        <v>476</v>
      </c>
      <c r="C273" s="132" t="s">
        <v>447</v>
      </c>
      <c r="D273" s="132" t="s">
        <v>450</v>
      </c>
      <c r="E273" s="132">
        <v>0</v>
      </c>
      <c r="F273" s="145">
        <f>+F23</f>
        <v>0</v>
      </c>
      <c r="G273" s="175">
        <v>0.873</v>
      </c>
      <c r="H273" s="146">
        <f t="shared" si="29"/>
        <v>0</v>
      </c>
      <c r="I273" s="146">
        <v>1.4</v>
      </c>
      <c r="J273" s="147">
        <f t="shared" si="30"/>
        <v>0</v>
      </c>
      <c r="K273" s="148">
        <f t="shared" si="31"/>
        <v>0</v>
      </c>
    </row>
    <row r="274" spans="2:11" ht="15">
      <c r="B274" s="144" t="s">
        <v>477</v>
      </c>
      <c r="C274" s="132" t="s">
        <v>447</v>
      </c>
      <c r="D274" s="132" t="s">
        <v>473</v>
      </c>
      <c r="E274" s="132">
        <v>0</v>
      </c>
      <c r="F274" s="145">
        <f>+G23</f>
        <v>0</v>
      </c>
      <c r="G274" s="175">
        <v>0.873</v>
      </c>
      <c r="H274" s="146">
        <f t="shared" si="29"/>
        <v>0</v>
      </c>
      <c r="I274" s="146">
        <v>1</v>
      </c>
      <c r="J274" s="147">
        <f t="shared" si="30"/>
        <v>0</v>
      </c>
      <c r="K274" s="148">
        <f t="shared" si="31"/>
        <v>0</v>
      </c>
    </row>
    <row r="275" spans="2:11" ht="15">
      <c r="B275" s="144" t="s">
        <v>478</v>
      </c>
      <c r="C275" s="132" t="s">
        <v>447</v>
      </c>
      <c r="D275" s="132" t="s">
        <v>475</v>
      </c>
      <c r="E275" s="132">
        <v>0</v>
      </c>
      <c r="F275" s="145">
        <f>+H23</f>
        <v>0</v>
      </c>
      <c r="G275" s="175">
        <v>0.873</v>
      </c>
      <c r="H275" s="146">
        <f t="shared" si="29"/>
        <v>0</v>
      </c>
      <c r="I275" s="146">
        <v>0.7</v>
      </c>
      <c r="J275" s="147">
        <f t="shared" si="30"/>
        <v>0</v>
      </c>
      <c r="K275" s="148">
        <f t="shared" si="31"/>
        <v>0</v>
      </c>
    </row>
    <row r="276" spans="2:11" ht="15">
      <c r="B276" s="167" t="s">
        <v>470</v>
      </c>
      <c r="C276" s="168" t="s">
        <v>471</v>
      </c>
      <c r="D276" s="168" t="s">
        <v>450</v>
      </c>
      <c r="E276" s="168">
        <v>1</v>
      </c>
      <c r="F276" s="168">
        <f>+F219</f>
        <v>0</v>
      </c>
      <c r="G276" s="176">
        <v>0.798</v>
      </c>
      <c r="H276" s="170">
        <f t="shared" si="29"/>
        <v>0</v>
      </c>
      <c r="I276" s="168">
        <v>4</v>
      </c>
      <c r="J276" s="171">
        <f t="shared" si="30"/>
        <v>0</v>
      </c>
      <c r="K276" s="172">
        <f t="shared" si="31"/>
        <v>0</v>
      </c>
    </row>
    <row r="277" spans="2:11" ht="15">
      <c r="B277" s="144" t="s">
        <v>472</v>
      </c>
      <c r="C277" s="132" t="s">
        <v>471</v>
      </c>
      <c r="D277" s="132" t="s">
        <v>473</v>
      </c>
      <c r="E277" s="132">
        <v>1</v>
      </c>
      <c r="F277" s="168">
        <f aca="true" t="shared" si="32" ref="F277:F317">+F220</f>
        <v>0</v>
      </c>
      <c r="G277" s="175">
        <v>0.798</v>
      </c>
      <c r="H277" s="146">
        <f t="shared" si="29"/>
        <v>0</v>
      </c>
      <c r="I277" s="146">
        <v>2.7</v>
      </c>
      <c r="J277" s="147">
        <f t="shared" si="30"/>
        <v>0</v>
      </c>
      <c r="K277" s="148">
        <f t="shared" si="31"/>
        <v>0</v>
      </c>
    </row>
    <row r="278" spans="2:11" ht="15">
      <c r="B278" s="144" t="s">
        <v>474</v>
      </c>
      <c r="C278" s="132" t="s">
        <v>471</v>
      </c>
      <c r="D278" s="132" t="s">
        <v>475</v>
      </c>
      <c r="E278" s="132">
        <v>1</v>
      </c>
      <c r="F278" s="168">
        <f t="shared" si="32"/>
        <v>0</v>
      </c>
      <c r="G278" s="175">
        <v>0.798</v>
      </c>
      <c r="H278" s="146">
        <f t="shared" si="29"/>
        <v>0</v>
      </c>
      <c r="I278" s="146">
        <v>1.6</v>
      </c>
      <c r="J278" s="147">
        <f t="shared" si="30"/>
        <v>0</v>
      </c>
      <c r="K278" s="148">
        <f t="shared" si="31"/>
        <v>0</v>
      </c>
    </row>
    <row r="279" spans="2:11" ht="15">
      <c r="B279" s="144" t="s">
        <v>476</v>
      </c>
      <c r="C279" s="132" t="s">
        <v>447</v>
      </c>
      <c r="D279" s="132" t="s">
        <v>450</v>
      </c>
      <c r="E279" s="132">
        <v>1</v>
      </c>
      <c r="F279" s="168">
        <f t="shared" si="32"/>
        <v>0</v>
      </c>
      <c r="G279" s="175">
        <v>0.798</v>
      </c>
      <c r="H279" s="146">
        <f t="shared" si="29"/>
        <v>0</v>
      </c>
      <c r="I279" s="146">
        <v>2.2</v>
      </c>
      <c r="J279" s="147">
        <f t="shared" si="30"/>
        <v>0</v>
      </c>
      <c r="K279" s="148">
        <f t="shared" si="31"/>
        <v>0</v>
      </c>
    </row>
    <row r="280" spans="2:11" ht="15">
      <c r="B280" s="144" t="s">
        <v>477</v>
      </c>
      <c r="C280" s="132" t="s">
        <v>447</v>
      </c>
      <c r="D280" s="132" t="s">
        <v>473</v>
      </c>
      <c r="E280" s="132">
        <v>1</v>
      </c>
      <c r="F280" s="168">
        <f t="shared" si="32"/>
        <v>0</v>
      </c>
      <c r="G280" s="175">
        <v>0.798</v>
      </c>
      <c r="H280" s="146">
        <f t="shared" si="29"/>
        <v>0</v>
      </c>
      <c r="I280" s="146">
        <v>1.5</v>
      </c>
      <c r="J280" s="147">
        <f t="shared" si="30"/>
        <v>0</v>
      </c>
      <c r="K280" s="148">
        <f t="shared" si="31"/>
        <v>0</v>
      </c>
    </row>
    <row r="281" spans="2:11" ht="15">
      <c r="B281" s="144" t="s">
        <v>478</v>
      </c>
      <c r="C281" s="132" t="s">
        <v>447</v>
      </c>
      <c r="D281" s="132" t="s">
        <v>475</v>
      </c>
      <c r="E281" s="132">
        <v>1</v>
      </c>
      <c r="F281" s="168">
        <f t="shared" si="32"/>
        <v>0</v>
      </c>
      <c r="G281" s="175">
        <v>0.798</v>
      </c>
      <c r="H281" s="146">
        <f t="shared" si="29"/>
        <v>0</v>
      </c>
      <c r="I281" s="146">
        <v>0.9</v>
      </c>
      <c r="J281" s="147">
        <f t="shared" si="30"/>
        <v>0</v>
      </c>
      <c r="K281" s="148">
        <f t="shared" si="31"/>
        <v>0</v>
      </c>
    </row>
    <row r="282" spans="2:11" ht="15">
      <c r="B282" s="167" t="s">
        <v>470</v>
      </c>
      <c r="C282" s="168" t="s">
        <v>471</v>
      </c>
      <c r="D282" s="168" t="s">
        <v>450</v>
      </c>
      <c r="E282" s="168">
        <v>2</v>
      </c>
      <c r="F282" s="168">
        <f t="shared" si="32"/>
        <v>0</v>
      </c>
      <c r="G282" s="176">
        <v>0.736</v>
      </c>
      <c r="H282" s="170">
        <f t="shared" si="29"/>
        <v>0</v>
      </c>
      <c r="I282" s="168">
        <v>5.4</v>
      </c>
      <c r="J282" s="171">
        <f t="shared" si="30"/>
        <v>0</v>
      </c>
      <c r="K282" s="172">
        <f t="shared" si="31"/>
        <v>0</v>
      </c>
    </row>
    <row r="283" spans="2:11" ht="15">
      <c r="B283" s="144" t="s">
        <v>472</v>
      </c>
      <c r="C283" s="132" t="s">
        <v>471</v>
      </c>
      <c r="D283" s="132" t="s">
        <v>473</v>
      </c>
      <c r="E283" s="132">
        <v>2</v>
      </c>
      <c r="F283" s="168">
        <f t="shared" si="32"/>
        <v>0</v>
      </c>
      <c r="G283" s="175">
        <v>0.736</v>
      </c>
      <c r="H283" s="146">
        <f t="shared" si="29"/>
        <v>0</v>
      </c>
      <c r="I283" s="146">
        <v>3.5</v>
      </c>
      <c r="J283" s="147">
        <f t="shared" si="30"/>
        <v>0</v>
      </c>
      <c r="K283" s="148">
        <f t="shared" si="31"/>
        <v>0</v>
      </c>
    </row>
    <row r="284" spans="2:11" ht="15">
      <c r="B284" s="144" t="s">
        <v>474</v>
      </c>
      <c r="C284" s="132" t="s">
        <v>471</v>
      </c>
      <c r="D284" s="132" t="s">
        <v>475</v>
      </c>
      <c r="E284" s="132">
        <v>2</v>
      </c>
      <c r="F284" s="168">
        <f t="shared" si="32"/>
        <v>0</v>
      </c>
      <c r="G284" s="175">
        <v>0.736</v>
      </c>
      <c r="H284" s="146">
        <f t="shared" si="29"/>
        <v>0</v>
      </c>
      <c r="I284" s="146">
        <v>2</v>
      </c>
      <c r="J284" s="147">
        <f t="shared" si="30"/>
        <v>0</v>
      </c>
      <c r="K284" s="148">
        <f t="shared" si="31"/>
        <v>0</v>
      </c>
    </row>
    <row r="285" spans="2:11" ht="15">
      <c r="B285" s="144" t="s">
        <v>476</v>
      </c>
      <c r="C285" s="132" t="s">
        <v>447</v>
      </c>
      <c r="D285" s="132" t="s">
        <v>450</v>
      </c>
      <c r="E285" s="132">
        <v>2</v>
      </c>
      <c r="F285" s="168">
        <f t="shared" si="32"/>
        <v>0</v>
      </c>
      <c r="G285" s="175">
        <v>0.736</v>
      </c>
      <c r="H285" s="146">
        <f t="shared" si="29"/>
        <v>0</v>
      </c>
      <c r="I285" s="146">
        <v>3.1</v>
      </c>
      <c r="J285" s="147">
        <f t="shared" si="30"/>
        <v>0</v>
      </c>
      <c r="K285" s="148">
        <f t="shared" si="31"/>
        <v>0</v>
      </c>
    </row>
    <row r="286" spans="2:11" ht="15">
      <c r="B286" s="144" t="s">
        <v>477</v>
      </c>
      <c r="C286" s="132" t="s">
        <v>447</v>
      </c>
      <c r="D286" s="132" t="s">
        <v>473</v>
      </c>
      <c r="E286" s="132">
        <v>2</v>
      </c>
      <c r="F286" s="168">
        <f t="shared" si="32"/>
        <v>0</v>
      </c>
      <c r="G286" s="175">
        <v>0.736</v>
      </c>
      <c r="H286" s="146">
        <f t="shared" si="29"/>
        <v>0</v>
      </c>
      <c r="I286" s="146">
        <v>2</v>
      </c>
      <c r="J286" s="147">
        <f t="shared" si="30"/>
        <v>0</v>
      </c>
      <c r="K286" s="148">
        <f t="shared" si="31"/>
        <v>0</v>
      </c>
    </row>
    <row r="287" spans="2:11" ht="15">
      <c r="B287" s="144" t="s">
        <v>478</v>
      </c>
      <c r="C287" s="132" t="s">
        <v>447</v>
      </c>
      <c r="D287" s="132" t="s">
        <v>475</v>
      </c>
      <c r="E287" s="132">
        <v>2</v>
      </c>
      <c r="F287" s="168">
        <f t="shared" si="32"/>
        <v>0</v>
      </c>
      <c r="G287" s="175">
        <v>0.736</v>
      </c>
      <c r="H287" s="146">
        <f t="shared" si="29"/>
        <v>0</v>
      </c>
      <c r="I287" s="146">
        <v>1.1</v>
      </c>
      <c r="J287" s="147">
        <f t="shared" si="30"/>
        <v>0</v>
      </c>
      <c r="K287" s="148">
        <f t="shared" si="31"/>
        <v>0</v>
      </c>
    </row>
    <row r="288" spans="2:11" ht="15">
      <c r="B288" s="167" t="s">
        <v>470</v>
      </c>
      <c r="C288" s="168" t="s">
        <v>471</v>
      </c>
      <c r="D288" s="168" t="s">
        <v>450</v>
      </c>
      <c r="E288" s="168">
        <v>3</v>
      </c>
      <c r="F288" s="168">
        <f t="shared" si="32"/>
        <v>0</v>
      </c>
      <c r="G288" s="176">
        <v>0.706</v>
      </c>
      <c r="H288" s="170">
        <f t="shared" si="29"/>
        <v>0</v>
      </c>
      <c r="I288" s="168">
        <v>6.9</v>
      </c>
      <c r="J288" s="171">
        <f t="shared" si="30"/>
        <v>0</v>
      </c>
      <c r="K288" s="172">
        <f t="shared" si="31"/>
        <v>0</v>
      </c>
    </row>
    <row r="289" spans="2:11" ht="15">
      <c r="B289" s="144" t="s">
        <v>472</v>
      </c>
      <c r="C289" s="132" t="s">
        <v>471</v>
      </c>
      <c r="D289" s="132" t="s">
        <v>473</v>
      </c>
      <c r="E289" s="132">
        <v>3</v>
      </c>
      <c r="F289" s="168">
        <f t="shared" si="32"/>
        <v>0</v>
      </c>
      <c r="G289" s="175">
        <v>0.706</v>
      </c>
      <c r="H289" s="146">
        <f t="shared" si="29"/>
        <v>0</v>
      </c>
      <c r="I289" s="146">
        <v>4.3</v>
      </c>
      <c r="J289" s="147">
        <f t="shared" si="30"/>
        <v>0</v>
      </c>
      <c r="K289" s="148">
        <f t="shared" si="31"/>
        <v>0</v>
      </c>
    </row>
    <row r="290" spans="2:11" ht="15">
      <c r="B290" s="144" t="s">
        <v>474</v>
      </c>
      <c r="C290" s="132" t="s">
        <v>471</v>
      </c>
      <c r="D290" s="132" t="s">
        <v>475</v>
      </c>
      <c r="E290" s="132">
        <v>3</v>
      </c>
      <c r="F290" s="168">
        <f t="shared" si="32"/>
        <v>0</v>
      </c>
      <c r="G290" s="175">
        <v>0.706</v>
      </c>
      <c r="H290" s="146">
        <f t="shared" si="29"/>
        <v>0</v>
      </c>
      <c r="I290" s="146">
        <v>2.4</v>
      </c>
      <c r="J290" s="147">
        <f t="shared" si="30"/>
        <v>0</v>
      </c>
      <c r="K290" s="148">
        <f t="shared" si="31"/>
        <v>0</v>
      </c>
    </row>
    <row r="291" spans="2:11" ht="15">
      <c r="B291" s="144" t="s">
        <v>476</v>
      </c>
      <c r="C291" s="132" t="s">
        <v>447</v>
      </c>
      <c r="D291" s="132" t="s">
        <v>450</v>
      </c>
      <c r="E291" s="132">
        <v>3</v>
      </c>
      <c r="F291" s="168">
        <f t="shared" si="32"/>
        <v>0</v>
      </c>
      <c r="G291" s="175">
        <v>0.706</v>
      </c>
      <c r="H291" s="146">
        <f t="shared" si="29"/>
        <v>0</v>
      </c>
      <c r="I291" s="146">
        <v>4.1</v>
      </c>
      <c r="J291" s="147">
        <f t="shared" si="30"/>
        <v>0</v>
      </c>
      <c r="K291" s="148">
        <f t="shared" si="31"/>
        <v>0</v>
      </c>
    </row>
    <row r="292" spans="2:11" ht="15">
      <c r="B292" s="144" t="s">
        <v>477</v>
      </c>
      <c r="C292" s="132" t="s">
        <v>447</v>
      </c>
      <c r="D292" s="132" t="s">
        <v>473</v>
      </c>
      <c r="E292" s="132">
        <v>3</v>
      </c>
      <c r="F292" s="168">
        <f t="shared" si="32"/>
        <v>0</v>
      </c>
      <c r="G292" s="175">
        <v>0.706</v>
      </c>
      <c r="H292" s="146">
        <f t="shared" si="29"/>
        <v>0</v>
      </c>
      <c r="I292" s="146">
        <v>2.5</v>
      </c>
      <c r="J292" s="147">
        <f t="shared" si="30"/>
        <v>0</v>
      </c>
      <c r="K292" s="148">
        <f t="shared" si="31"/>
        <v>0</v>
      </c>
    </row>
    <row r="293" spans="2:11" ht="15">
      <c r="B293" s="144" t="s">
        <v>478</v>
      </c>
      <c r="C293" s="132" t="s">
        <v>447</v>
      </c>
      <c r="D293" s="132" t="s">
        <v>475</v>
      </c>
      <c r="E293" s="132">
        <v>3</v>
      </c>
      <c r="F293" s="168">
        <f t="shared" si="32"/>
        <v>0</v>
      </c>
      <c r="G293" s="175">
        <v>0.706</v>
      </c>
      <c r="H293" s="146">
        <f t="shared" si="29"/>
        <v>0</v>
      </c>
      <c r="I293" s="146">
        <v>1.4</v>
      </c>
      <c r="J293" s="147">
        <f t="shared" si="30"/>
        <v>0</v>
      </c>
      <c r="K293" s="148">
        <f t="shared" si="31"/>
        <v>0</v>
      </c>
    </row>
    <row r="294" spans="2:11" ht="15">
      <c r="B294" s="167" t="s">
        <v>470</v>
      </c>
      <c r="C294" s="168" t="s">
        <v>471</v>
      </c>
      <c r="D294" s="168" t="s">
        <v>450</v>
      </c>
      <c r="E294" s="168">
        <v>4</v>
      </c>
      <c r="F294" s="168">
        <f t="shared" si="32"/>
        <v>0</v>
      </c>
      <c r="G294" s="176">
        <v>0.678</v>
      </c>
      <c r="H294" s="170">
        <f t="shared" si="29"/>
        <v>0</v>
      </c>
      <c r="I294" s="168">
        <v>8.5</v>
      </c>
      <c r="J294" s="171">
        <f t="shared" si="30"/>
        <v>0</v>
      </c>
      <c r="K294" s="172">
        <f t="shared" si="31"/>
        <v>0</v>
      </c>
    </row>
    <row r="295" spans="2:11" ht="15">
      <c r="B295" s="144" t="s">
        <v>472</v>
      </c>
      <c r="C295" s="132" t="s">
        <v>471</v>
      </c>
      <c r="D295" s="132" t="s">
        <v>473</v>
      </c>
      <c r="E295" s="132">
        <v>4</v>
      </c>
      <c r="F295" s="168">
        <f t="shared" si="32"/>
        <v>0</v>
      </c>
      <c r="G295" s="175">
        <v>0.678</v>
      </c>
      <c r="H295" s="146">
        <f t="shared" si="29"/>
        <v>0</v>
      </c>
      <c r="I295" s="146">
        <v>5.2</v>
      </c>
      <c r="J295" s="147">
        <f t="shared" si="30"/>
        <v>0</v>
      </c>
      <c r="K295" s="148">
        <f t="shared" si="31"/>
        <v>0</v>
      </c>
    </row>
    <row r="296" spans="2:11" ht="15">
      <c r="B296" s="144" t="s">
        <v>474</v>
      </c>
      <c r="C296" s="132" t="s">
        <v>471</v>
      </c>
      <c r="D296" s="132" t="s">
        <v>475</v>
      </c>
      <c r="E296" s="132">
        <v>4</v>
      </c>
      <c r="F296" s="168">
        <f t="shared" si="32"/>
        <v>0</v>
      </c>
      <c r="G296" s="175">
        <v>0.678</v>
      </c>
      <c r="H296" s="146">
        <f t="shared" si="29"/>
        <v>0</v>
      </c>
      <c r="I296" s="146">
        <v>2.8</v>
      </c>
      <c r="J296" s="147">
        <f t="shared" si="30"/>
        <v>0</v>
      </c>
      <c r="K296" s="148">
        <f t="shared" si="31"/>
        <v>0</v>
      </c>
    </row>
    <row r="297" spans="2:11" ht="15">
      <c r="B297" s="144" t="s">
        <v>476</v>
      </c>
      <c r="C297" s="132" t="s">
        <v>447</v>
      </c>
      <c r="D297" s="132" t="s">
        <v>450</v>
      </c>
      <c r="E297" s="132">
        <v>4</v>
      </c>
      <c r="F297" s="168">
        <f t="shared" si="32"/>
        <v>0</v>
      </c>
      <c r="G297" s="175">
        <v>0.678</v>
      </c>
      <c r="H297" s="146">
        <f t="shared" si="29"/>
        <v>0</v>
      </c>
      <c r="I297" s="146">
        <v>5.2</v>
      </c>
      <c r="J297" s="147">
        <f t="shared" si="30"/>
        <v>0</v>
      </c>
      <c r="K297" s="148">
        <f t="shared" si="31"/>
        <v>0</v>
      </c>
    </row>
    <row r="298" spans="2:11" ht="15">
      <c r="B298" s="144" t="s">
        <v>477</v>
      </c>
      <c r="C298" s="132" t="s">
        <v>447</v>
      </c>
      <c r="D298" s="132" t="s">
        <v>473</v>
      </c>
      <c r="E298" s="132">
        <v>4</v>
      </c>
      <c r="F298" s="168">
        <f t="shared" si="32"/>
        <v>0</v>
      </c>
      <c r="G298" s="175">
        <v>0.678</v>
      </c>
      <c r="H298" s="146">
        <f t="shared" si="29"/>
        <v>0</v>
      </c>
      <c r="I298" s="146">
        <v>3.1</v>
      </c>
      <c r="J298" s="147">
        <f t="shared" si="30"/>
        <v>0</v>
      </c>
      <c r="K298" s="148">
        <f t="shared" si="31"/>
        <v>0</v>
      </c>
    </row>
    <row r="299" spans="2:11" ht="15">
      <c r="B299" s="144" t="s">
        <v>478</v>
      </c>
      <c r="C299" s="132" t="s">
        <v>447</v>
      </c>
      <c r="D299" s="132" t="s">
        <v>475</v>
      </c>
      <c r="E299" s="132">
        <v>4</v>
      </c>
      <c r="F299" s="168">
        <f t="shared" si="32"/>
        <v>0</v>
      </c>
      <c r="G299" s="175">
        <v>0.678</v>
      </c>
      <c r="H299" s="146">
        <f t="shared" si="29"/>
        <v>0</v>
      </c>
      <c r="I299" s="146">
        <v>1.6</v>
      </c>
      <c r="J299" s="147">
        <f t="shared" si="30"/>
        <v>0</v>
      </c>
      <c r="K299" s="148">
        <f t="shared" si="31"/>
        <v>0</v>
      </c>
    </row>
    <row r="300" spans="2:11" ht="15">
      <c r="B300" s="167" t="s">
        <v>470</v>
      </c>
      <c r="C300" s="168" t="s">
        <v>471</v>
      </c>
      <c r="D300" s="168" t="s">
        <v>450</v>
      </c>
      <c r="E300" s="168">
        <v>5</v>
      </c>
      <c r="F300" s="168">
        <f t="shared" si="32"/>
        <v>0</v>
      </c>
      <c r="G300" s="176">
        <v>0.658</v>
      </c>
      <c r="H300" s="170">
        <f t="shared" si="29"/>
        <v>0</v>
      </c>
      <c r="I300" s="168">
        <v>10.1</v>
      </c>
      <c r="J300" s="171">
        <f t="shared" si="30"/>
        <v>0</v>
      </c>
      <c r="K300" s="172">
        <f t="shared" si="31"/>
        <v>0</v>
      </c>
    </row>
    <row r="301" spans="2:11" ht="15">
      <c r="B301" s="144" t="s">
        <v>472</v>
      </c>
      <c r="C301" s="132" t="s">
        <v>471</v>
      </c>
      <c r="D301" s="132" t="s">
        <v>473</v>
      </c>
      <c r="E301" s="132">
        <v>5</v>
      </c>
      <c r="F301" s="168">
        <f t="shared" si="32"/>
        <v>0</v>
      </c>
      <c r="G301" s="175">
        <v>0.658</v>
      </c>
      <c r="H301" s="146">
        <f t="shared" si="29"/>
        <v>0</v>
      </c>
      <c r="I301" s="146">
        <v>6.1</v>
      </c>
      <c r="J301" s="147">
        <f t="shared" si="30"/>
        <v>0</v>
      </c>
      <c r="K301" s="148">
        <f t="shared" si="31"/>
        <v>0</v>
      </c>
    </row>
    <row r="302" spans="2:11" ht="15">
      <c r="B302" s="144" t="s">
        <v>474</v>
      </c>
      <c r="C302" s="132" t="s">
        <v>471</v>
      </c>
      <c r="D302" s="132" t="s">
        <v>475</v>
      </c>
      <c r="E302" s="132">
        <v>5</v>
      </c>
      <c r="F302" s="168">
        <f t="shared" si="32"/>
        <v>0</v>
      </c>
      <c r="G302" s="175">
        <v>0.658</v>
      </c>
      <c r="H302" s="146">
        <f t="shared" si="29"/>
        <v>0</v>
      </c>
      <c r="I302" s="146">
        <v>3.2</v>
      </c>
      <c r="J302" s="147">
        <f t="shared" si="30"/>
        <v>0</v>
      </c>
      <c r="K302" s="148">
        <f t="shared" si="31"/>
        <v>0</v>
      </c>
    </row>
    <row r="303" spans="2:11" ht="15">
      <c r="B303" s="144" t="s">
        <v>476</v>
      </c>
      <c r="C303" s="132" t="s">
        <v>447</v>
      </c>
      <c r="D303" s="132" t="s">
        <v>450</v>
      </c>
      <c r="E303" s="132">
        <v>5</v>
      </c>
      <c r="F303" s="168">
        <f t="shared" si="32"/>
        <v>0</v>
      </c>
      <c r="G303" s="175">
        <v>0.658</v>
      </c>
      <c r="H303" s="146">
        <f t="shared" si="29"/>
        <v>0</v>
      </c>
      <c r="I303" s="146">
        <v>6.4</v>
      </c>
      <c r="J303" s="147">
        <f t="shared" si="30"/>
        <v>0</v>
      </c>
      <c r="K303" s="148">
        <f t="shared" si="31"/>
        <v>0</v>
      </c>
    </row>
    <row r="304" spans="2:11" ht="15">
      <c r="B304" s="144" t="s">
        <v>477</v>
      </c>
      <c r="C304" s="132" t="s">
        <v>447</v>
      </c>
      <c r="D304" s="132" t="s">
        <v>473</v>
      </c>
      <c r="E304" s="132">
        <v>5</v>
      </c>
      <c r="F304" s="168">
        <f t="shared" si="32"/>
        <v>0</v>
      </c>
      <c r="G304" s="175">
        <v>0.658</v>
      </c>
      <c r="H304" s="146">
        <f t="shared" si="29"/>
        <v>0</v>
      </c>
      <c r="I304" s="146">
        <v>3.7</v>
      </c>
      <c r="J304" s="147">
        <f t="shared" si="30"/>
        <v>0</v>
      </c>
      <c r="K304" s="148">
        <f t="shared" si="31"/>
        <v>0</v>
      </c>
    </row>
    <row r="305" spans="2:11" ht="15">
      <c r="B305" s="144" t="s">
        <v>478</v>
      </c>
      <c r="C305" s="132" t="s">
        <v>447</v>
      </c>
      <c r="D305" s="132" t="s">
        <v>475</v>
      </c>
      <c r="E305" s="132">
        <v>5</v>
      </c>
      <c r="F305" s="168">
        <f t="shared" si="32"/>
        <v>0</v>
      </c>
      <c r="G305" s="175">
        <v>0.658</v>
      </c>
      <c r="H305" s="146">
        <f t="shared" si="29"/>
        <v>0</v>
      </c>
      <c r="I305" s="146">
        <v>1.9</v>
      </c>
      <c r="J305" s="147">
        <f t="shared" si="30"/>
        <v>0</v>
      </c>
      <c r="K305" s="148">
        <f t="shared" si="31"/>
        <v>0</v>
      </c>
    </row>
    <row r="306" spans="2:11" ht="15">
      <c r="B306" s="167" t="s">
        <v>470</v>
      </c>
      <c r="C306" s="168" t="s">
        <v>471</v>
      </c>
      <c r="D306" s="168" t="s">
        <v>450</v>
      </c>
      <c r="E306" s="168">
        <v>6</v>
      </c>
      <c r="F306" s="168">
        <f t="shared" si="32"/>
        <v>0</v>
      </c>
      <c r="G306" s="176">
        <v>0.644</v>
      </c>
      <c r="H306" s="170">
        <f t="shared" si="29"/>
        <v>0</v>
      </c>
      <c r="I306" s="168">
        <v>11.8</v>
      </c>
      <c r="J306" s="171">
        <f t="shared" si="30"/>
        <v>0</v>
      </c>
      <c r="K306" s="172">
        <f t="shared" si="31"/>
        <v>0</v>
      </c>
    </row>
    <row r="307" spans="2:11" ht="15">
      <c r="B307" s="144" t="s">
        <v>472</v>
      </c>
      <c r="C307" s="132" t="s">
        <v>471</v>
      </c>
      <c r="D307" s="132" t="s">
        <v>473</v>
      </c>
      <c r="E307" s="132">
        <v>6</v>
      </c>
      <c r="F307" s="168">
        <f t="shared" si="32"/>
        <v>0</v>
      </c>
      <c r="G307" s="175">
        <v>0.639</v>
      </c>
      <c r="H307" s="146">
        <f t="shared" si="29"/>
        <v>0</v>
      </c>
      <c r="I307" s="146">
        <v>7.1</v>
      </c>
      <c r="J307" s="147">
        <f t="shared" si="30"/>
        <v>0</v>
      </c>
      <c r="K307" s="148">
        <f t="shared" si="31"/>
        <v>0</v>
      </c>
    </row>
    <row r="308" spans="2:11" ht="15">
      <c r="B308" s="144" t="s">
        <v>474</v>
      </c>
      <c r="C308" s="132" t="s">
        <v>471</v>
      </c>
      <c r="D308" s="132" t="s">
        <v>475</v>
      </c>
      <c r="E308" s="132">
        <v>6</v>
      </c>
      <c r="F308" s="168">
        <f t="shared" si="32"/>
        <v>0</v>
      </c>
      <c r="G308" s="175">
        <v>0.639</v>
      </c>
      <c r="H308" s="146">
        <f t="shared" si="29"/>
        <v>0</v>
      </c>
      <c r="I308" s="146">
        <v>3.7</v>
      </c>
      <c r="J308" s="147">
        <f t="shared" si="30"/>
        <v>0</v>
      </c>
      <c r="K308" s="148">
        <f t="shared" si="31"/>
        <v>0</v>
      </c>
    </row>
    <row r="309" spans="2:11" ht="15">
      <c r="B309" s="144" t="s">
        <v>476</v>
      </c>
      <c r="C309" s="132" t="s">
        <v>447</v>
      </c>
      <c r="D309" s="132" t="s">
        <v>450</v>
      </c>
      <c r="E309" s="132">
        <v>6</v>
      </c>
      <c r="F309" s="168">
        <f t="shared" si="32"/>
        <v>0</v>
      </c>
      <c r="G309" s="175">
        <v>0.644</v>
      </c>
      <c r="H309" s="146">
        <f t="shared" si="29"/>
        <v>0</v>
      </c>
      <c r="I309" s="146">
        <v>7.6</v>
      </c>
      <c r="J309" s="147">
        <f t="shared" si="30"/>
        <v>0</v>
      </c>
      <c r="K309" s="148">
        <f t="shared" si="31"/>
        <v>0</v>
      </c>
    </row>
    <row r="310" spans="2:11" ht="15">
      <c r="B310" s="144" t="s">
        <v>477</v>
      </c>
      <c r="C310" s="132" t="s">
        <v>447</v>
      </c>
      <c r="D310" s="132" t="s">
        <v>473</v>
      </c>
      <c r="E310" s="132">
        <v>6</v>
      </c>
      <c r="F310" s="168">
        <f t="shared" si="32"/>
        <v>0</v>
      </c>
      <c r="G310" s="175">
        <v>0.639</v>
      </c>
      <c r="H310" s="146">
        <f t="shared" si="29"/>
        <v>0</v>
      </c>
      <c r="I310" s="146">
        <v>4.4</v>
      </c>
      <c r="J310" s="147">
        <f t="shared" si="30"/>
        <v>0</v>
      </c>
      <c r="K310" s="148">
        <f t="shared" si="31"/>
        <v>0</v>
      </c>
    </row>
    <row r="311" spans="2:11" ht="15">
      <c r="B311" s="144" t="s">
        <v>478</v>
      </c>
      <c r="C311" s="132" t="s">
        <v>447</v>
      </c>
      <c r="D311" s="132" t="s">
        <v>475</v>
      </c>
      <c r="E311" s="132">
        <v>6</v>
      </c>
      <c r="F311" s="168">
        <f t="shared" si="32"/>
        <v>0</v>
      </c>
      <c r="G311" s="175">
        <v>0.639</v>
      </c>
      <c r="H311" s="146">
        <f t="shared" si="29"/>
        <v>0</v>
      </c>
      <c r="I311" s="146">
        <v>2.2</v>
      </c>
      <c r="J311" s="147">
        <f t="shared" si="30"/>
        <v>0</v>
      </c>
      <c r="K311" s="148">
        <f t="shared" si="31"/>
        <v>0</v>
      </c>
    </row>
    <row r="312" spans="2:11" ht="15">
      <c r="B312" s="167" t="s">
        <v>470</v>
      </c>
      <c r="C312" s="168" t="s">
        <v>471</v>
      </c>
      <c r="D312" s="168" t="s">
        <v>450</v>
      </c>
      <c r="E312" s="168">
        <v>7</v>
      </c>
      <c r="F312" s="168">
        <f t="shared" si="32"/>
        <v>0</v>
      </c>
      <c r="G312" s="176">
        <v>0.63</v>
      </c>
      <c r="H312" s="170">
        <f t="shared" si="29"/>
        <v>0</v>
      </c>
      <c r="I312" s="168">
        <v>13.6</v>
      </c>
      <c r="J312" s="171">
        <f t="shared" si="30"/>
        <v>0</v>
      </c>
      <c r="K312" s="172">
        <f t="shared" si="31"/>
        <v>0</v>
      </c>
    </row>
    <row r="313" spans="2:11" ht="15">
      <c r="B313" s="144" t="s">
        <v>472</v>
      </c>
      <c r="C313" s="132" t="s">
        <v>471</v>
      </c>
      <c r="D313" s="132" t="s">
        <v>473</v>
      </c>
      <c r="E313" s="132">
        <v>7</v>
      </c>
      <c r="F313" s="168">
        <f t="shared" si="32"/>
        <v>0</v>
      </c>
      <c r="G313" s="175">
        <v>0.621</v>
      </c>
      <c r="H313" s="146">
        <f t="shared" si="29"/>
        <v>0</v>
      </c>
      <c r="I313" s="146">
        <v>8.1</v>
      </c>
      <c r="J313" s="147">
        <f t="shared" si="30"/>
        <v>0</v>
      </c>
      <c r="K313" s="148">
        <f t="shared" si="31"/>
        <v>0</v>
      </c>
    </row>
    <row r="314" spans="2:11" ht="15">
      <c r="B314" s="144" t="s">
        <v>474</v>
      </c>
      <c r="C314" s="132" t="s">
        <v>471</v>
      </c>
      <c r="D314" s="132" t="s">
        <v>475</v>
      </c>
      <c r="E314" s="132">
        <v>7</v>
      </c>
      <c r="F314" s="168">
        <f t="shared" si="32"/>
        <v>0</v>
      </c>
      <c r="G314" s="175">
        <v>0.621</v>
      </c>
      <c r="H314" s="146">
        <f t="shared" si="29"/>
        <v>0</v>
      </c>
      <c r="I314" s="146">
        <v>4.1</v>
      </c>
      <c r="J314" s="147">
        <f t="shared" si="30"/>
        <v>0</v>
      </c>
      <c r="K314" s="148">
        <f t="shared" si="31"/>
        <v>0</v>
      </c>
    </row>
    <row r="315" spans="2:11" ht="15">
      <c r="B315" s="144" t="s">
        <v>476</v>
      </c>
      <c r="C315" s="132" t="s">
        <v>447</v>
      </c>
      <c r="D315" s="132" t="s">
        <v>450</v>
      </c>
      <c r="E315" s="132">
        <v>7</v>
      </c>
      <c r="F315" s="168">
        <f t="shared" si="32"/>
        <v>0</v>
      </c>
      <c r="G315" s="175">
        <v>0.63</v>
      </c>
      <c r="H315" s="146">
        <f t="shared" si="29"/>
        <v>0</v>
      </c>
      <c r="I315" s="146">
        <v>8.9</v>
      </c>
      <c r="J315" s="147">
        <f t="shared" si="30"/>
        <v>0</v>
      </c>
      <c r="K315" s="148">
        <f t="shared" si="31"/>
        <v>0</v>
      </c>
    </row>
    <row r="316" spans="2:11" ht="15">
      <c r="B316" s="144" t="s">
        <v>477</v>
      </c>
      <c r="C316" s="132" t="s">
        <v>447</v>
      </c>
      <c r="D316" s="132" t="s">
        <v>473</v>
      </c>
      <c r="E316" s="132">
        <v>7</v>
      </c>
      <c r="F316" s="168">
        <f t="shared" si="32"/>
        <v>0</v>
      </c>
      <c r="G316" s="175">
        <v>0.621</v>
      </c>
      <c r="H316" s="146">
        <f t="shared" si="29"/>
        <v>0</v>
      </c>
      <c r="I316" s="146">
        <v>5.1</v>
      </c>
      <c r="J316" s="147">
        <f t="shared" si="30"/>
        <v>0</v>
      </c>
      <c r="K316" s="148">
        <f t="shared" si="31"/>
        <v>0</v>
      </c>
    </row>
    <row r="317" spans="2:11" ht="15.75" thickBot="1">
      <c r="B317" s="144" t="s">
        <v>478</v>
      </c>
      <c r="C317" s="132" t="s">
        <v>447</v>
      </c>
      <c r="D317" s="132" t="s">
        <v>475</v>
      </c>
      <c r="E317" s="132">
        <v>7</v>
      </c>
      <c r="F317" s="168">
        <f t="shared" si="32"/>
        <v>0</v>
      </c>
      <c r="G317" s="175">
        <v>0.621</v>
      </c>
      <c r="H317" s="146">
        <f t="shared" si="29"/>
        <v>0</v>
      </c>
      <c r="I317" s="146">
        <v>2.5</v>
      </c>
      <c r="J317" s="147">
        <f t="shared" si="30"/>
        <v>0</v>
      </c>
      <c r="K317" s="148">
        <f t="shared" si="31"/>
        <v>0</v>
      </c>
    </row>
    <row r="318" spans="2:11" ht="15.75" thickTop="1">
      <c r="B318" s="149"/>
      <c r="C318" s="150"/>
      <c r="D318" s="150"/>
      <c r="E318" s="150"/>
      <c r="F318" s="150"/>
      <c r="G318" s="177"/>
      <c r="H318" s="150"/>
      <c r="I318" s="151" t="s">
        <v>479</v>
      </c>
      <c r="J318" s="152">
        <f>SUM(J270:J317)</f>
        <v>0</v>
      </c>
      <c r="K318" s="143">
        <f t="shared" si="31"/>
        <v>0</v>
      </c>
    </row>
    <row r="319" spans="2:11" ht="15">
      <c r="B319" s="153"/>
      <c r="C319" s="154"/>
      <c r="D319" s="154"/>
      <c r="E319" s="154"/>
      <c r="F319" s="154"/>
      <c r="G319" s="178"/>
      <c r="H319" s="155"/>
      <c r="I319" s="156"/>
      <c r="J319" s="157"/>
      <c r="K319" s="148"/>
    </row>
    <row r="320" spans="2:11" ht="15.75" thickBot="1">
      <c r="B320" s="158"/>
      <c r="C320" s="159"/>
      <c r="D320" s="159"/>
      <c r="E320" s="159"/>
      <c r="F320" s="159"/>
      <c r="G320" s="179"/>
      <c r="H320" s="160"/>
      <c r="I320" s="161" t="s">
        <v>480</v>
      </c>
      <c r="J320" s="162">
        <f>J318*(44/12)</f>
        <v>0</v>
      </c>
      <c r="K320" s="163">
        <f>J320/2000</f>
        <v>0</v>
      </c>
    </row>
    <row r="321" ht="15.75" thickTop="1"/>
    <row r="322" spans="2:11" ht="15.75" thickBot="1">
      <c r="B322" s="217" t="s">
        <v>488</v>
      </c>
      <c r="C322" s="217"/>
      <c r="D322" s="217"/>
      <c r="E322" s="217"/>
      <c r="F322" s="217"/>
      <c r="G322" s="217"/>
      <c r="H322"/>
      <c r="I322"/>
      <c r="J322"/>
      <c r="K322"/>
    </row>
    <row r="323" spans="2:11" ht="15.75" thickBot="1">
      <c r="B323"/>
      <c r="C323"/>
      <c r="D323"/>
      <c r="E323"/>
      <c r="F323"/>
      <c r="G323"/>
      <c r="H323"/>
      <c r="I323"/>
      <c r="J323"/>
      <c r="K323"/>
    </row>
    <row r="324" spans="2:11" ht="15.75" thickTop="1">
      <c r="B324" s="127" t="s">
        <v>445</v>
      </c>
      <c r="C324" s="128"/>
      <c r="D324" s="128"/>
      <c r="E324" s="129" t="s">
        <v>446</v>
      </c>
      <c r="F324" s="129" t="s">
        <v>447</v>
      </c>
      <c r="G324" s="174" t="s">
        <v>448</v>
      </c>
      <c r="H324" s="129" t="s">
        <v>449</v>
      </c>
      <c r="I324" s="129" t="s">
        <v>450</v>
      </c>
      <c r="J324" s="128" t="s">
        <v>451</v>
      </c>
      <c r="K324" s="173"/>
    </row>
    <row r="325" spans="2:11" ht="15">
      <c r="B325" s="130" t="s">
        <v>452</v>
      </c>
      <c r="C325" s="131" t="s">
        <v>453</v>
      </c>
      <c r="D325" s="131" t="s">
        <v>454</v>
      </c>
      <c r="E325" s="132" t="s">
        <v>455</v>
      </c>
      <c r="F325" s="132" t="s">
        <v>456</v>
      </c>
      <c r="G325" s="175" t="s">
        <v>457</v>
      </c>
      <c r="H325" s="132" t="s">
        <v>458</v>
      </c>
      <c r="I325" s="132" t="s">
        <v>459</v>
      </c>
      <c r="J325" s="133" t="s">
        <v>460</v>
      </c>
      <c r="K325" s="134"/>
    </row>
    <row r="326" spans="2:11" ht="15.75" thickBot="1">
      <c r="B326" s="135"/>
      <c r="C326" s="136" t="s">
        <v>461</v>
      </c>
      <c r="D326" s="136" t="s">
        <v>462</v>
      </c>
      <c r="E326" s="136" t="s">
        <v>463</v>
      </c>
      <c r="F326" s="136" t="s">
        <v>464</v>
      </c>
      <c r="G326" s="175" t="s">
        <v>465</v>
      </c>
      <c r="H326" s="132" t="s">
        <v>466</v>
      </c>
      <c r="I326" s="132" t="s">
        <v>467</v>
      </c>
      <c r="J326" s="137" t="s">
        <v>468</v>
      </c>
      <c r="K326" s="138" t="s">
        <v>469</v>
      </c>
    </row>
    <row r="327" spans="2:11" ht="15.75" thickTop="1">
      <c r="B327" s="139" t="s">
        <v>470</v>
      </c>
      <c r="C327" s="129" t="s">
        <v>471</v>
      </c>
      <c r="D327" s="129" t="s">
        <v>450</v>
      </c>
      <c r="E327" s="129">
        <v>0</v>
      </c>
      <c r="F327" s="140">
        <f>+C24</f>
        <v>0</v>
      </c>
      <c r="G327" s="174">
        <v>0.873</v>
      </c>
      <c r="H327" s="141">
        <f aca="true" t="shared" si="33" ref="H327:H380">F327*G327</f>
        <v>0</v>
      </c>
      <c r="I327" s="129">
        <v>2.7</v>
      </c>
      <c r="J327" s="142">
        <f aca="true" t="shared" si="34" ref="J327:J380">H327*I327</f>
        <v>0</v>
      </c>
      <c r="K327" s="143">
        <f aca="true" t="shared" si="35" ref="K327:K381">J327/2000</f>
        <v>0</v>
      </c>
    </row>
    <row r="328" spans="2:11" ht="15">
      <c r="B328" s="144" t="s">
        <v>472</v>
      </c>
      <c r="C328" s="132" t="s">
        <v>471</v>
      </c>
      <c r="D328" s="132" t="s">
        <v>473</v>
      </c>
      <c r="E328" s="132">
        <v>0</v>
      </c>
      <c r="F328" s="145">
        <f>+D24</f>
        <v>0</v>
      </c>
      <c r="G328" s="175">
        <v>0.873</v>
      </c>
      <c r="H328" s="146">
        <f t="shared" si="33"/>
        <v>0</v>
      </c>
      <c r="I328" s="146">
        <v>1.9</v>
      </c>
      <c r="J328" s="147">
        <f t="shared" si="34"/>
        <v>0</v>
      </c>
      <c r="K328" s="148">
        <f t="shared" si="35"/>
        <v>0</v>
      </c>
    </row>
    <row r="329" spans="2:11" ht="15">
      <c r="B329" s="144" t="s">
        <v>474</v>
      </c>
      <c r="C329" s="132" t="s">
        <v>471</v>
      </c>
      <c r="D329" s="132" t="s">
        <v>475</v>
      </c>
      <c r="E329" s="132">
        <v>0</v>
      </c>
      <c r="F329" s="145">
        <f>+E24</f>
        <v>0</v>
      </c>
      <c r="G329" s="175">
        <v>0.873</v>
      </c>
      <c r="H329" s="146">
        <f t="shared" si="33"/>
        <v>0</v>
      </c>
      <c r="I329" s="146">
        <v>1.3</v>
      </c>
      <c r="J329" s="147">
        <f t="shared" si="34"/>
        <v>0</v>
      </c>
      <c r="K329" s="148">
        <f t="shared" si="35"/>
        <v>0</v>
      </c>
    </row>
    <row r="330" spans="2:11" ht="15">
      <c r="B330" s="144" t="s">
        <v>476</v>
      </c>
      <c r="C330" s="132" t="s">
        <v>447</v>
      </c>
      <c r="D330" s="132" t="s">
        <v>450</v>
      </c>
      <c r="E330" s="132">
        <v>0</v>
      </c>
      <c r="F330" s="145">
        <f>+F24</f>
        <v>0</v>
      </c>
      <c r="G330" s="175">
        <v>0.873</v>
      </c>
      <c r="H330" s="146">
        <f t="shared" si="33"/>
        <v>0</v>
      </c>
      <c r="I330" s="146">
        <v>1.4</v>
      </c>
      <c r="J330" s="147">
        <f t="shared" si="34"/>
        <v>0</v>
      </c>
      <c r="K330" s="148">
        <f t="shared" si="35"/>
        <v>0</v>
      </c>
    </row>
    <row r="331" spans="2:11" ht="15">
      <c r="B331" s="144" t="s">
        <v>477</v>
      </c>
      <c r="C331" s="132" t="s">
        <v>447</v>
      </c>
      <c r="D331" s="132" t="s">
        <v>473</v>
      </c>
      <c r="E331" s="132">
        <v>0</v>
      </c>
      <c r="F331" s="145">
        <f>+G24</f>
        <v>0</v>
      </c>
      <c r="G331" s="175">
        <v>0.873</v>
      </c>
      <c r="H331" s="146">
        <f t="shared" si="33"/>
        <v>0</v>
      </c>
      <c r="I331" s="146">
        <v>1</v>
      </c>
      <c r="J331" s="147">
        <f t="shared" si="34"/>
        <v>0</v>
      </c>
      <c r="K331" s="148">
        <f t="shared" si="35"/>
        <v>0</v>
      </c>
    </row>
    <row r="332" spans="2:11" ht="15">
      <c r="B332" s="144" t="s">
        <v>478</v>
      </c>
      <c r="C332" s="132" t="s">
        <v>447</v>
      </c>
      <c r="D332" s="132" t="s">
        <v>475</v>
      </c>
      <c r="E332" s="132">
        <v>0</v>
      </c>
      <c r="F332" s="145">
        <f>+H24</f>
        <v>0</v>
      </c>
      <c r="G332" s="175">
        <v>0.873</v>
      </c>
      <c r="H332" s="146">
        <f t="shared" si="33"/>
        <v>0</v>
      </c>
      <c r="I332" s="146">
        <v>0.7</v>
      </c>
      <c r="J332" s="147">
        <f t="shared" si="34"/>
        <v>0</v>
      </c>
      <c r="K332" s="148">
        <f t="shared" si="35"/>
        <v>0</v>
      </c>
    </row>
    <row r="333" spans="2:11" ht="15">
      <c r="B333" s="167" t="s">
        <v>470</v>
      </c>
      <c r="C333" s="168" t="s">
        <v>471</v>
      </c>
      <c r="D333" s="168" t="s">
        <v>450</v>
      </c>
      <c r="E333" s="168">
        <v>1</v>
      </c>
      <c r="F333" s="169">
        <f>+F270</f>
        <v>0</v>
      </c>
      <c r="G333" s="176">
        <v>0.798</v>
      </c>
      <c r="H333" s="170">
        <f t="shared" si="33"/>
        <v>0</v>
      </c>
      <c r="I333" s="168">
        <v>4</v>
      </c>
      <c r="J333" s="171">
        <f t="shared" si="34"/>
        <v>0</v>
      </c>
      <c r="K333" s="172">
        <f t="shared" si="35"/>
        <v>0</v>
      </c>
    </row>
    <row r="334" spans="2:11" ht="15">
      <c r="B334" s="144" t="s">
        <v>472</v>
      </c>
      <c r="C334" s="132" t="s">
        <v>471</v>
      </c>
      <c r="D334" s="132" t="s">
        <v>473</v>
      </c>
      <c r="E334" s="132">
        <v>1</v>
      </c>
      <c r="F334" s="169">
        <f aca="true" t="shared" si="36" ref="F334:F380">+F271</f>
        <v>0</v>
      </c>
      <c r="G334" s="175">
        <v>0.798</v>
      </c>
      <c r="H334" s="146">
        <f t="shared" si="33"/>
        <v>0</v>
      </c>
      <c r="I334" s="146">
        <v>2.7</v>
      </c>
      <c r="J334" s="147">
        <f t="shared" si="34"/>
        <v>0</v>
      </c>
      <c r="K334" s="148">
        <f t="shared" si="35"/>
        <v>0</v>
      </c>
    </row>
    <row r="335" spans="2:11" ht="15">
      <c r="B335" s="144" t="s">
        <v>474</v>
      </c>
      <c r="C335" s="132" t="s">
        <v>471</v>
      </c>
      <c r="D335" s="132" t="s">
        <v>475</v>
      </c>
      <c r="E335" s="132">
        <v>1</v>
      </c>
      <c r="F335" s="169">
        <f t="shared" si="36"/>
        <v>0</v>
      </c>
      <c r="G335" s="175">
        <v>0.798</v>
      </c>
      <c r="H335" s="146">
        <f t="shared" si="33"/>
        <v>0</v>
      </c>
      <c r="I335" s="146">
        <v>1.6</v>
      </c>
      <c r="J335" s="147">
        <f t="shared" si="34"/>
        <v>0</v>
      </c>
      <c r="K335" s="148">
        <f t="shared" si="35"/>
        <v>0</v>
      </c>
    </row>
    <row r="336" spans="2:11" ht="15">
      <c r="B336" s="144" t="s">
        <v>476</v>
      </c>
      <c r="C336" s="132" t="s">
        <v>447</v>
      </c>
      <c r="D336" s="132" t="s">
        <v>450</v>
      </c>
      <c r="E336" s="132">
        <v>1</v>
      </c>
      <c r="F336" s="169">
        <f t="shared" si="36"/>
        <v>0</v>
      </c>
      <c r="G336" s="175">
        <v>0.798</v>
      </c>
      <c r="H336" s="146">
        <f t="shared" si="33"/>
        <v>0</v>
      </c>
      <c r="I336" s="146">
        <v>2.2</v>
      </c>
      <c r="J336" s="147">
        <f t="shared" si="34"/>
        <v>0</v>
      </c>
      <c r="K336" s="148">
        <f t="shared" si="35"/>
        <v>0</v>
      </c>
    </row>
    <row r="337" spans="2:11" ht="15">
      <c r="B337" s="144" t="s">
        <v>477</v>
      </c>
      <c r="C337" s="132" t="s">
        <v>447</v>
      </c>
      <c r="D337" s="132" t="s">
        <v>473</v>
      </c>
      <c r="E337" s="132">
        <v>1</v>
      </c>
      <c r="F337" s="169">
        <f t="shared" si="36"/>
        <v>0</v>
      </c>
      <c r="G337" s="175">
        <v>0.798</v>
      </c>
      <c r="H337" s="146">
        <f t="shared" si="33"/>
        <v>0</v>
      </c>
      <c r="I337" s="146">
        <v>1.5</v>
      </c>
      <c r="J337" s="147">
        <f t="shared" si="34"/>
        <v>0</v>
      </c>
      <c r="K337" s="148">
        <f t="shared" si="35"/>
        <v>0</v>
      </c>
    </row>
    <row r="338" spans="2:11" ht="15">
      <c r="B338" s="144" t="s">
        <v>478</v>
      </c>
      <c r="C338" s="132" t="s">
        <v>447</v>
      </c>
      <c r="D338" s="132" t="s">
        <v>475</v>
      </c>
      <c r="E338" s="132">
        <v>1</v>
      </c>
      <c r="F338" s="169">
        <f t="shared" si="36"/>
        <v>0</v>
      </c>
      <c r="G338" s="175">
        <v>0.798</v>
      </c>
      <c r="H338" s="146">
        <f t="shared" si="33"/>
        <v>0</v>
      </c>
      <c r="I338" s="146">
        <v>0.9</v>
      </c>
      <c r="J338" s="147">
        <f t="shared" si="34"/>
        <v>0</v>
      </c>
      <c r="K338" s="148">
        <f t="shared" si="35"/>
        <v>0</v>
      </c>
    </row>
    <row r="339" spans="2:11" ht="15">
      <c r="B339" s="167" t="s">
        <v>470</v>
      </c>
      <c r="C339" s="168" t="s">
        <v>471</v>
      </c>
      <c r="D339" s="168" t="s">
        <v>450</v>
      </c>
      <c r="E339" s="168">
        <v>2</v>
      </c>
      <c r="F339" s="169">
        <f t="shared" si="36"/>
        <v>0</v>
      </c>
      <c r="G339" s="176">
        <v>0.736</v>
      </c>
      <c r="H339" s="170">
        <f t="shared" si="33"/>
        <v>0</v>
      </c>
      <c r="I339" s="168">
        <v>5.4</v>
      </c>
      <c r="J339" s="171">
        <f t="shared" si="34"/>
        <v>0</v>
      </c>
      <c r="K339" s="172">
        <f t="shared" si="35"/>
        <v>0</v>
      </c>
    </row>
    <row r="340" spans="2:11" ht="15">
      <c r="B340" s="144" t="s">
        <v>472</v>
      </c>
      <c r="C340" s="132" t="s">
        <v>471</v>
      </c>
      <c r="D340" s="132" t="s">
        <v>473</v>
      </c>
      <c r="E340" s="132">
        <v>2</v>
      </c>
      <c r="F340" s="169">
        <f t="shared" si="36"/>
        <v>0</v>
      </c>
      <c r="G340" s="175">
        <v>0.736</v>
      </c>
      <c r="H340" s="146">
        <f t="shared" si="33"/>
        <v>0</v>
      </c>
      <c r="I340" s="146">
        <v>3.5</v>
      </c>
      <c r="J340" s="147">
        <f t="shared" si="34"/>
        <v>0</v>
      </c>
      <c r="K340" s="148">
        <f t="shared" si="35"/>
        <v>0</v>
      </c>
    </row>
    <row r="341" spans="2:11" ht="15">
      <c r="B341" s="144" t="s">
        <v>474</v>
      </c>
      <c r="C341" s="132" t="s">
        <v>471</v>
      </c>
      <c r="D341" s="132" t="s">
        <v>475</v>
      </c>
      <c r="E341" s="132">
        <v>2</v>
      </c>
      <c r="F341" s="169">
        <f t="shared" si="36"/>
        <v>0</v>
      </c>
      <c r="G341" s="175">
        <v>0.736</v>
      </c>
      <c r="H341" s="146">
        <f t="shared" si="33"/>
        <v>0</v>
      </c>
      <c r="I341" s="146">
        <v>2</v>
      </c>
      <c r="J341" s="147">
        <f t="shared" si="34"/>
        <v>0</v>
      </c>
      <c r="K341" s="148">
        <f t="shared" si="35"/>
        <v>0</v>
      </c>
    </row>
    <row r="342" spans="2:11" ht="15">
      <c r="B342" s="144" t="s">
        <v>476</v>
      </c>
      <c r="C342" s="132" t="s">
        <v>447</v>
      </c>
      <c r="D342" s="132" t="s">
        <v>450</v>
      </c>
      <c r="E342" s="132">
        <v>2</v>
      </c>
      <c r="F342" s="169">
        <f t="shared" si="36"/>
        <v>0</v>
      </c>
      <c r="G342" s="175">
        <v>0.736</v>
      </c>
      <c r="H342" s="146">
        <f t="shared" si="33"/>
        <v>0</v>
      </c>
      <c r="I342" s="146">
        <v>3.1</v>
      </c>
      <c r="J342" s="147">
        <f t="shared" si="34"/>
        <v>0</v>
      </c>
      <c r="K342" s="148">
        <f t="shared" si="35"/>
        <v>0</v>
      </c>
    </row>
    <row r="343" spans="2:11" ht="15">
      <c r="B343" s="144" t="s">
        <v>477</v>
      </c>
      <c r="C343" s="132" t="s">
        <v>447</v>
      </c>
      <c r="D343" s="132" t="s">
        <v>473</v>
      </c>
      <c r="E343" s="132">
        <v>2</v>
      </c>
      <c r="F343" s="169">
        <f t="shared" si="36"/>
        <v>0</v>
      </c>
      <c r="G343" s="175">
        <v>0.736</v>
      </c>
      <c r="H343" s="146">
        <f t="shared" si="33"/>
        <v>0</v>
      </c>
      <c r="I343" s="146">
        <v>2</v>
      </c>
      <c r="J343" s="147">
        <f t="shared" si="34"/>
        <v>0</v>
      </c>
      <c r="K343" s="148">
        <f t="shared" si="35"/>
        <v>0</v>
      </c>
    </row>
    <row r="344" spans="2:11" ht="15">
      <c r="B344" s="144" t="s">
        <v>478</v>
      </c>
      <c r="C344" s="132" t="s">
        <v>447</v>
      </c>
      <c r="D344" s="132" t="s">
        <v>475</v>
      </c>
      <c r="E344" s="132">
        <v>2</v>
      </c>
      <c r="F344" s="169">
        <f t="shared" si="36"/>
        <v>0</v>
      </c>
      <c r="G344" s="175">
        <v>0.736</v>
      </c>
      <c r="H344" s="146">
        <f t="shared" si="33"/>
        <v>0</v>
      </c>
      <c r="I344" s="146">
        <v>1.1</v>
      </c>
      <c r="J344" s="147">
        <f t="shared" si="34"/>
        <v>0</v>
      </c>
      <c r="K344" s="148">
        <f t="shared" si="35"/>
        <v>0</v>
      </c>
    </row>
    <row r="345" spans="2:11" ht="15">
      <c r="B345" s="167" t="s">
        <v>470</v>
      </c>
      <c r="C345" s="168" t="s">
        <v>471</v>
      </c>
      <c r="D345" s="168" t="s">
        <v>450</v>
      </c>
      <c r="E345" s="168">
        <v>3</v>
      </c>
      <c r="F345" s="169">
        <f t="shared" si="36"/>
        <v>0</v>
      </c>
      <c r="G345" s="176">
        <v>0.706</v>
      </c>
      <c r="H345" s="170">
        <f t="shared" si="33"/>
        <v>0</v>
      </c>
      <c r="I345" s="168">
        <v>6.9</v>
      </c>
      <c r="J345" s="171">
        <f t="shared" si="34"/>
        <v>0</v>
      </c>
      <c r="K345" s="172">
        <f t="shared" si="35"/>
        <v>0</v>
      </c>
    </row>
    <row r="346" spans="2:11" ht="15">
      <c r="B346" s="144" t="s">
        <v>472</v>
      </c>
      <c r="C346" s="132" t="s">
        <v>471</v>
      </c>
      <c r="D346" s="132" t="s">
        <v>473</v>
      </c>
      <c r="E346" s="132">
        <v>3</v>
      </c>
      <c r="F346" s="169">
        <f t="shared" si="36"/>
        <v>0</v>
      </c>
      <c r="G346" s="175">
        <v>0.706</v>
      </c>
      <c r="H346" s="146">
        <f t="shared" si="33"/>
        <v>0</v>
      </c>
      <c r="I346" s="146">
        <v>4.3</v>
      </c>
      <c r="J346" s="147">
        <f t="shared" si="34"/>
        <v>0</v>
      </c>
      <c r="K346" s="148">
        <f t="shared" si="35"/>
        <v>0</v>
      </c>
    </row>
    <row r="347" spans="2:11" ht="15">
      <c r="B347" s="144" t="s">
        <v>474</v>
      </c>
      <c r="C347" s="132" t="s">
        <v>471</v>
      </c>
      <c r="D347" s="132" t="s">
        <v>475</v>
      </c>
      <c r="E347" s="132">
        <v>3</v>
      </c>
      <c r="F347" s="169">
        <f t="shared" si="36"/>
        <v>0</v>
      </c>
      <c r="G347" s="175">
        <v>0.706</v>
      </c>
      <c r="H347" s="146">
        <f t="shared" si="33"/>
        <v>0</v>
      </c>
      <c r="I347" s="146">
        <v>2.4</v>
      </c>
      <c r="J347" s="147">
        <f t="shared" si="34"/>
        <v>0</v>
      </c>
      <c r="K347" s="148">
        <f t="shared" si="35"/>
        <v>0</v>
      </c>
    </row>
    <row r="348" spans="2:11" ht="15">
      <c r="B348" s="144" t="s">
        <v>476</v>
      </c>
      <c r="C348" s="132" t="s">
        <v>447</v>
      </c>
      <c r="D348" s="132" t="s">
        <v>450</v>
      </c>
      <c r="E348" s="132">
        <v>3</v>
      </c>
      <c r="F348" s="169">
        <f t="shared" si="36"/>
        <v>0</v>
      </c>
      <c r="G348" s="175">
        <v>0.706</v>
      </c>
      <c r="H348" s="146">
        <f t="shared" si="33"/>
        <v>0</v>
      </c>
      <c r="I348" s="146">
        <v>4.1</v>
      </c>
      <c r="J348" s="147">
        <f t="shared" si="34"/>
        <v>0</v>
      </c>
      <c r="K348" s="148">
        <f t="shared" si="35"/>
        <v>0</v>
      </c>
    </row>
    <row r="349" spans="2:11" ht="15">
      <c r="B349" s="144" t="s">
        <v>477</v>
      </c>
      <c r="C349" s="132" t="s">
        <v>447</v>
      </c>
      <c r="D349" s="132" t="s">
        <v>473</v>
      </c>
      <c r="E349" s="132">
        <v>3</v>
      </c>
      <c r="F349" s="169">
        <f t="shared" si="36"/>
        <v>0</v>
      </c>
      <c r="G349" s="175">
        <v>0.706</v>
      </c>
      <c r="H349" s="146">
        <f t="shared" si="33"/>
        <v>0</v>
      </c>
      <c r="I349" s="146">
        <v>2.5</v>
      </c>
      <c r="J349" s="147">
        <f t="shared" si="34"/>
        <v>0</v>
      </c>
      <c r="K349" s="148">
        <f t="shared" si="35"/>
        <v>0</v>
      </c>
    </row>
    <row r="350" spans="2:11" ht="15">
      <c r="B350" s="144" t="s">
        <v>478</v>
      </c>
      <c r="C350" s="132" t="s">
        <v>447</v>
      </c>
      <c r="D350" s="132" t="s">
        <v>475</v>
      </c>
      <c r="E350" s="132">
        <v>3</v>
      </c>
      <c r="F350" s="169">
        <f t="shared" si="36"/>
        <v>0</v>
      </c>
      <c r="G350" s="175">
        <v>0.706</v>
      </c>
      <c r="H350" s="146">
        <f t="shared" si="33"/>
        <v>0</v>
      </c>
      <c r="I350" s="146">
        <v>1.4</v>
      </c>
      <c r="J350" s="147">
        <f t="shared" si="34"/>
        <v>0</v>
      </c>
      <c r="K350" s="148">
        <f t="shared" si="35"/>
        <v>0</v>
      </c>
    </row>
    <row r="351" spans="2:11" ht="15">
      <c r="B351" s="167" t="s">
        <v>470</v>
      </c>
      <c r="C351" s="168" t="s">
        <v>471</v>
      </c>
      <c r="D351" s="168" t="s">
        <v>450</v>
      </c>
      <c r="E351" s="168">
        <v>4</v>
      </c>
      <c r="F351" s="169">
        <f t="shared" si="36"/>
        <v>0</v>
      </c>
      <c r="G351" s="176">
        <v>0.678</v>
      </c>
      <c r="H351" s="170">
        <f t="shared" si="33"/>
        <v>0</v>
      </c>
      <c r="I351" s="168">
        <v>8.5</v>
      </c>
      <c r="J351" s="171">
        <f t="shared" si="34"/>
        <v>0</v>
      </c>
      <c r="K351" s="172">
        <f t="shared" si="35"/>
        <v>0</v>
      </c>
    </row>
    <row r="352" spans="2:11" ht="15">
      <c r="B352" s="144" t="s">
        <v>472</v>
      </c>
      <c r="C352" s="132" t="s">
        <v>471</v>
      </c>
      <c r="D352" s="132" t="s">
        <v>473</v>
      </c>
      <c r="E352" s="132">
        <v>4</v>
      </c>
      <c r="F352" s="169">
        <f t="shared" si="36"/>
        <v>0</v>
      </c>
      <c r="G352" s="175">
        <v>0.678</v>
      </c>
      <c r="H352" s="146">
        <f t="shared" si="33"/>
        <v>0</v>
      </c>
      <c r="I352" s="146">
        <v>5.2</v>
      </c>
      <c r="J352" s="147">
        <f t="shared" si="34"/>
        <v>0</v>
      </c>
      <c r="K352" s="148">
        <f t="shared" si="35"/>
        <v>0</v>
      </c>
    </row>
    <row r="353" spans="2:11" ht="15">
      <c r="B353" s="144" t="s">
        <v>474</v>
      </c>
      <c r="C353" s="132" t="s">
        <v>471</v>
      </c>
      <c r="D353" s="132" t="s">
        <v>475</v>
      </c>
      <c r="E353" s="132">
        <v>4</v>
      </c>
      <c r="F353" s="169">
        <f t="shared" si="36"/>
        <v>0</v>
      </c>
      <c r="G353" s="175">
        <v>0.678</v>
      </c>
      <c r="H353" s="146">
        <f t="shared" si="33"/>
        <v>0</v>
      </c>
      <c r="I353" s="146">
        <v>2.8</v>
      </c>
      <c r="J353" s="147">
        <f t="shared" si="34"/>
        <v>0</v>
      </c>
      <c r="K353" s="148">
        <f t="shared" si="35"/>
        <v>0</v>
      </c>
    </row>
    <row r="354" spans="2:11" ht="15">
      <c r="B354" s="144" t="s">
        <v>476</v>
      </c>
      <c r="C354" s="132" t="s">
        <v>447</v>
      </c>
      <c r="D354" s="132" t="s">
        <v>450</v>
      </c>
      <c r="E354" s="132">
        <v>4</v>
      </c>
      <c r="F354" s="169">
        <f t="shared" si="36"/>
        <v>0</v>
      </c>
      <c r="G354" s="175">
        <v>0.678</v>
      </c>
      <c r="H354" s="146">
        <f t="shared" si="33"/>
        <v>0</v>
      </c>
      <c r="I354" s="146">
        <v>5.2</v>
      </c>
      <c r="J354" s="147">
        <f t="shared" si="34"/>
        <v>0</v>
      </c>
      <c r="K354" s="148">
        <f t="shared" si="35"/>
        <v>0</v>
      </c>
    </row>
    <row r="355" spans="2:11" ht="15">
      <c r="B355" s="144" t="s">
        <v>477</v>
      </c>
      <c r="C355" s="132" t="s">
        <v>447</v>
      </c>
      <c r="D355" s="132" t="s">
        <v>473</v>
      </c>
      <c r="E355" s="132">
        <v>4</v>
      </c>
      <c r="F355" s="169">
        <f t="shared" si="36"/>
        <v>0</v>
      </c>
      <c r="G355" s="175">
        <v>0.678</v>
      </c>
      <c r="H355" s="146">
        <f t="shared" si="33"/>
        <v>0</v>
      </c>
      <c r="I355" s="146">
        <v>3.1</v>
      </c>
      <c r="J355" s="147">
        <f t="shared" si="34"/>
        <v>0</v>
      </c>
      <c r="K355" s="148">
        <f t="shared" si="35"/>
        <v>0</v>
      </c>
    </row>
    <row r="356" spans="2:11" ht="15">
      <c r="B356" s="144" t="s">
        <v>478</v>
      </c>
      <c r="C356" s="132" t="s">
        <v>447</v>
      </c>
      <c r="D356" s="132" t="s">
        <v>475</v>
      </c>
      <c r="E356" s="132">
        <v>4</v>
      </c>
      <c r="F356" s="169">
        <f t="shared" si="36"/>
        <v>0</v>
      </c>
      <c r="G356" s="175">
        <v>0.678</v>
      </c>
      <c r="H356" s="146">
        <f t="shared" si="33"/>
        <v>0</v>
      </c>
      <c r="I356" s="146">
        <v>1.6</v>
      </c>
      <c r="J356" s="147">
        <f t="shared" si="34"/>
        <v>0</v>
      </c>
      <c r="K356" s="148">
        <f t="shared" si="35"/>
        <v>0</v>
      </c>
    </row>
    <row r="357" spans="2:11" ht="15">
      <c r="B357" s="167" t="s">
        <v>470</v>
      </c>
      <c r="C357" s="168" t="s">
        <v>471</v>
      </c>
      <c r="D357" s="168" t="s">
        <v>450</v>
      </c>
      <c r="E357" s="168">
        <v>5</v>
      </c>
      <c r="F357" s="169">
        <f t="shared" si="36"/>
        <v>0</v>
      </c>
      <c r="G357" s="176">
        <v>0.658</v>
      </c>
      <c r="H357" s="170">
        <f t="shared" si="33"/>
        <v>0</v>
      </c>
      <c r="I357" s="168">
        <v>10.1</v>
      </c>
      <c r="J357" s="171">
        <f t="shared" si="34"/>
        <v>0</v>
      </c>
      <c r="K357" s="172">
        <f t="shared" si="35"/>
        <v>0</v>
      </c>
    </row>
    <row r="358" spans="2:11" ht="15">
      <c r="B358" s="144" t="s">
        <v>472</v>
      </c>
      <c r="C358" s="132" t="s">
        <v>471</v>
      </c>
      <c r="D358" s="132" t="s">
        <v>473</v>
      </c>
      <c r="E358" s="132">
        <v>5</v>
      </c>
      <c r="F358" s="169">
        <f t="shared" si="36"/>
        <v>0</v>
      </c>
      <c r="G358" s="175">
        <v>0.658</v>
      </c>
      <c r="H358" s="146">
        <f t="shared" si="33"/>
        <v>0</v>
      </c>
      <c r="I358" s="146">
        <v>6.1</v>
      </c>
      <c r="J358" s="147">
        <f t="shared" si="34"/>
        <v>0</v>
      </c>
      <c r="K358" s="148">
        <f t="shared" si="35"/>
        <v>0</v>
      </c>
    </row>
    <row r="359" spans="2:11" ht="15">
      <c r="B359" s="144" t="s">
        <v>474</v>
      </c>
      <c r="C359" s="132" t="s">
        <v>471</v>
      </c>
      <c r="D359" s="132" t="s">
        <v>475</v>
      </c>
      <c r="E359" s="132">
        <v>5</v>
      </c>
      <c r="F359" s="169">
        <f t="shared" si="36"/>
        <v>0</v>
      </c>
      <c r="G359" s="175">
        <v>0.658</v>
      </c>
      <c r="H359" s="146">
        <f t="shared" si="33"/>
        <v>0</v>
      </c>
      <c r="I359" s="146">
        <v>3.2</v>
      </c>
      <c r="J359" s="147">
        <f t="shared" si="34"/>
        <v>0</v>
      </c>
      <c r="K359" s="148">
        <f t="shared" si="35"/>
        <v>0</v>
      </c>
    </row>
    <row r="360" spans="2:11" ht="15">
      <c r="B360" s="144" t="s">
        <v>476</v>
      </c>
      <c r="C360" s="132" t="s">
        <v>447</v>
      </c>
      <c r="D360" s="132" t="s">
        <v>450</v>
      </c>
      <c r="E360" s="132">
        <v>5</v>
      </c>
      <c r="F360" s="169">
        <f t="shared" si="36"/>
        <v>0</v>
      </c>
      <c r="G360" s="175">
        <v>0.658</v>
      </c>
      <c r="H360" s="146">
        <f t="shared" si="33"/>
        <v>0</v>
      </c>
      <c r="I360" s="146">
        <v>6.4</v>
      </c>
      <c r="J360" s="147">
        <f t="shared" si="34"/>
        <v>0</v>
      </c>
      <c r="K360" s="148">
        <f t="shared" si="35"/>
        <v>0</v>
      </c>
    </row>
    <row r="361" spans="2:11" ht="15">
      <c r="B361" s="144" t="s">
        <v>477</v>
      </c>
      <c r="C361" s="132" t="s">
        <v>447</v>
      </c>
      <c r="D361" s="132" t="s">
        <v>473</v>
      </c>
      <c r="E361" s="132">
        <v>5</v>
      </c>
      <c r="F361" s="169">
        <f t="shared" si="36"/>
        <v>0</v>
      </c>
      <c r="G361" s="175">
        <v>0.658</v>
      </c>
      <c r="H361" s="146">
        <f t="shared" si="33"/>
        <v>0</v>
      </c>
      <c r="I361" s="146">
        <v>3.7</v>
      </c>
      <c r="J361" s="147">
        <f t="shared" si="34"/>
        <v>0</v>
      </c>
      <c r="K361" s="148">
        <f t="shared" si="35"/>
        <v>0</v>
      </c>
    </row>
    <row r="362" spans="2:11" ht="15">
      <c r="B362" s="144" t="s">
        <v>478</v>
      </c>
      <c r="C362" s="132" t="s">
        <v>447</v>
      </c>
      <c r="D362" s="132" t="s">
        <v>475</v>
      </c>
      <c r="E362" s="132">
        <v>5</v>
      </c>
      <c r="F362" s="169">
        <f t="shared" si="36"/>
        <v>0</v>
      </c>
      <c r="G362" s="175">
        <v>0.658</v>
      </c>
      <c r="H362" s="146">
        <f t="shared" si="33"/>
        <v>0</v>
      </c>
      <c r="I362" s="146">
        <v>1.9</v>
      </c>
      <c r="J362" s="147">
        <f t="shared" si="34"/>
        <v>0</v>
      </c>
      <c r="K362" s="148">
        <f t="shared" si="35"/>
        <v>0</v>
      </c>
    </row>
    <row r="363" spans="2:11" ht="15">
      <c r="B363" s="167" t="s">
        <v>470</v>
      </c>
      <c r="C363" s="168" t="s">
        <v>471</v>
      </c>
      <c r="D363" s="168" t="s">
        <v>450</v>
      </c>
      <c r="E363" s="168">
        <v>6</v>
      </c>
      <c r="F363" s="169">
        <f t="shared" si="36"/>
        <v>0</v>
      </c>
      <c r="G363" s="176">
        <v>0.644</v>
      </c>
      <c r="H363" s="170">
        <f t="shared" si="33"/>
        <v>0</v>
      </c>
      <c r="I363" s="168">
        <v>11.8</v>
      </c>
      <c r="J363" s="171">
        <f t="shared" si="34"/>
        <v>0</v>
      </c>
      <c r="K363" s="172">
        <f t="shared" si="35"/>
        <v>0</v>
      </c>
    </row>
    <row r="364" spans="2:11" ht="15">
      <c r="B364" s="144" t="s">
        <v>472</v>
      </c>
      <c r="C364" s="132" t="s">
        <v>471</v>
      </c>
      <c r="D364" s="132" t="s">
        <v>473</v>
      </c>
      <c r="E364" s="132">
        <v>6</v>
      </c>
      <c r="F364" s="169">
        <f t="shared" si="36"/>
        <v>0</v>
      </c>
      <c r="G364" s="175">
        <v>0.639</v>
      </c>
      <c r="H364" s="146">
        <f t="shared" si="33"/>
        <v>0</v>
      </c>
      <c r="I364" s="146">
        <v>7.1</v>
      </c>
      <c r="J364" s="147">
        <f t="shared" si="34"/>
        <v>0</v>
      </c>
      <c r="K364" s="148">
        <f t="shared" si="35"/>
        <v>0</v>
      </c>
    </row>
    <row r="365" spans="2:11" ht="15">
      <c r="B365" s="144" t="s">
        <v>474</v>
      </c>
      <c r="C365" s="132" t="s">
        <v>471</v>
      </c>
      <c r="D365" s="132" t="s">
        <v>475</v>
      </c>
      <c r="E365" s="132">
        <v>6</v>
      </c>
      <c r="F365" s="169">
        <f t="shared" si="36"/>
        <v>0</v>
      </c>
      <c r="G365" s="175">
        <v>0.639</v>
      </c>
      <c r="H365" s="146">
        <f t="shared" si="33"/>
        <v>0</v>
      </c>
      <c r="I365" s="146">
        <v>3.7</v>
      </c>
      <c r="J365" s="147">
        <f t="shared" si="34"/>
        <v>0</v>
      </c>
      <c r="K365" s="148">
        <f t="shared" si="35"/>
        <v>0</v>
      </c>
    </row>
    <row r="366" spans="2:11" ht="15">
      <c r="B366" s="144" t="s">
        <v>476</v>
      </c>
      <c r="C366" s="132" t="s">
        <v>447</v>
      </c>
      <c r="D366" s="132" t="s">
        <v>450</v>
      </c>
      <c r="E366" s="132">
        <v>6</v>
      </c>
      <c r="F366" s="169">
        <f t="shared" si="36"/>
        <v>0</v>
      </c>
      <c r="G366" s="175">
        <v>0.644</v>
      </c>
      <c r="H366" s="146">
        <f t="shared" si="33"/>
        <v>0</v>
      </c>
      <c r="I366" s="146">
        <v>7.6</v>
      </c>
      <c r="J366" s="147">
        <f t="shared" si="34"/>
        <v>0</v>
      </c>
      <c r="K366" s="148">
        <f t="shared" si="35"/>
        <v>0</v>
      </c>
    </row>
    <row r="367" spans="2:11" ht="15">
      <c r="B367" s="144" t="s">
        <v>477</v>
      </c>
      <c r="C367" s="132" t="s">
        <v>447</v>
      </c>
      <c r="D367" s="132" t="s">
        <v>473</v>
      </c>
      <c r="E367" s="132">
        <v>6</v>
      </c>
      <c r="F367" s="169">
        <f t="shared" si="36"/>
        <v>0</v>
      </c>
      <c r="G367" s="175">
        <v>0.639</v>
      </c>
      <c r="H367" s="146">
        <f t="shared" si="33"/>
        <v>0</v>
      </c>
      <c r="I367" s="146">
        <v>4.4</v>
      </c>
      <c r="J367" s="147">
        <f t="shared" si="34"/>
        <v>0</v>
      </c>
      <c r="K367" s="148">
        <f t="shared" si="35"/>
        <v>0</v>
      </c>
    </row>
    <row r="368" spans="2:11" ht="15">
      <c r="B368" s="144" t="s">
        <v>478</v>
      </c>
      <c r="C368" s="132" t="s">
        <v>447</v>
      </c>
      <c r="D368" s="132" t="s">
        <v>475</v>
      </c>
      <c r="E368" s="132">
        <v>6</v>
      </c>
      <c r="F368" s="169">
        <f t="shared" si="36"/>
        <v>0</v>
      </c>
      <c r="G368" s="175">
        <v>0.639</v>
      </c>
      <c r="H368" s="146">
        <f t="shared" si="33"/>
        <v>0</v>
      </c>
      <c r="I368" s="146">
        <v>2.2</v>
      </c>
      <c r="J368" s="147">
        <f t="shared" si="34"/>
        <v>0</v>
      </c>
      <c r="K368" s="148">
        <f t="shared" si="35"/>
        <v>0</v>
      </c>
    </row>
    <row r="369" spans="2:11" ht="15">
      <c r="B369" s="167" t="s">
        <v>470</v>
      </c>
      <c r="C369" s="168" t="s">
        <v>471</v>
      </c>
      <c r="D369" s="168" t="s">
        <v>450</v>
      </c>
      <c r="E369" s="168">
        <v>7</v>
      </c>
      <c r="F369" s="169">
        <f t="shared" si="36"/>
        <v>0</v>
      </c>
      <c r="G369" s="176">
        <v>0.63</v>
      </c>
      <c r="H369" s="170">
        <f t="shared" si="33"/>
        <v>0</v>
      </c>
      <c r="I369" s="168">
        <v>13.6</v>
      </c>
      <c r="J369" s="171">
        <f t="shared" si="34"/>
        <v>0</v>
      </c>
      <c r="K369" s="172">
        <f t="shared" si="35"/>
        <v>0</v>
      </c>
    </row>
    <row r="370" spans="2:11" ht="15">
      <c r="B370" s="144" t="s">
        <v>472</v>
      </c>
      <c r="C370" s="132" t="s">
        <v>471</v>
      </c>
      <c r="D370" s="132" t="s">
        <v>473</v>
      </c>
      <c r="E370" s="132">
        <v>7</v>
      </c>
      <c r="F370" s="169">
        <f t="shared" si="36"/>
        <v>0</v>
      </c>
      <c r="G370" s="175">
        <v>0.621</v>
      </c>
      <c r="H370" s="146">
        <f t="shared" si="33"/>
        <v>0</v>
      </c>
      <c r="I370" s="146">
        <v>8.1</v>
      </c>
      <c r="J370" s="147">
        <f t="shared" si="34"/>
        <v>0</v>
      </c>
      <c r="K370" s="148">
        <f t="shared" si="35"/>
        <v>0</v>
      </c>
    </row>
    <row r="371" spans="2:11" ht="15">
      <c r="B371" s="144" t="s">
        <v>474</v>
      </c>
      <c r="C371" s="132" t="s">
        <v>471</v>
      </c>
      <c r="D371" s="132" t="s">
        <v>475</v>
      </c>
      <c r="E371" s="132">
        <v>7</v>
      </c>
      <c r="F371" s="169">
        <f t="shared" si="36"/>
        <v>0</v>
      </c>
      <c r="G371" s="175">
        <v>0.621</v>
      </c>
      <c r="H371" s="146">
        <f t="shared" si="33"/>
        <v>0</v>
      </c>
      <c r="I371" s="146">
        <v>4.1</v>
      </c>
      <c r="J371" s="147">
        <f t="shared" si="34"/>
        <v>0</v>
      </c>
      <c r="K371" s="148">
        <f t="shared" si="35"/>
        <v>0</v>
      </c>
    </row>
    <row r="372" spans="2:11" ht="15">
      <c r="B372" s="144" t="s">
        <v>476</v>
      </c>
      <c r="C372" s="132" t="s">
        <v>447</v>
      </c>
      <c r="D372" s="132" t="s">
        <v>450</v>
      </c>
      <c r="E372" s="132">
        <v>7</v>
      </c>
      <c r="F372" s="169">
        <f t="shared" si="36"/>
        <v>0</v>
      </c>
      <c r="G372" s="175">
        <v>0.63</v>
      </c>
      <c r="H372" s="146">
        <f t="shared" si="33"/>
        <v>0</v>
      </c>
      <c r="I372" s="146">
        <v>8.9</v>
      </c>
      <c r="J372" s="147">
        <f t="shared" si="34"/>
        <v>0</v>
      </c>
      <c r="K372" s="148">
        <f t="shared" si="35"/>
        <v>0</v>
      </c>
    </row>
    <row r="373" spans="2:11" ht="15">
      <c r="B373" s="144" t="s">
        <v>477</v>
      </c>
      <c r="C373" s="132" t="s">
        <v>447</v>
      </c>
      <c r="D373" s="132" t="s">
        <v>473</v>
      </c>
      <c r="E373" s="132">
        <v>7</v>
      </c>
      <c r="F373" s="169">
        <f t="shared" si="36"/>
        <v>0</v>
      </c>
      <c r="G373" s="175">
        <v>0.621</v>
      </c>
      <c r="H373" s="146">
        <f t="shared" si="33"/>
        <v>0</v>
      </c>
      <c r="I373" s="146">
        <v>5.1</v>
      </c>
      <c r="J373" s="147">
        <f t="shared" si="34"/>
        <v>0</v>
      </c>
      <c r="K373" s="148">
        <f t="shared" si="35"/>
        <v>0</v>
      </c>
    </row>
    <row r="374" spans="2:11" ht="15">
      <c r="B374" s="144" t="s">
        <v>478</v>
      </c>
      <c r="C374" s="132" t="s">
        <v>447</v>
      </c>
      <c r="D374" s="132" t="s">
        <v>475</v>
      </c>
      <c r="E374" s="132">
        <v>7</v>
      </c>
      <c r="F374" s="169">
        <f t="shared" si="36"/>
        <v>0</v>
      </c>
      <c r="G374" s="175">
        <v>0.621</v>
      </c>
      <c r="H374" s="146">
        <f t="shared" si="33"/>
        <v>0</v>
      </c>
      <c r="I374" s="146">
        <v>2.5</v>
      </c>
      <c r="J374" s="147">
        <f t="shared" si="34"/>
        <v>0</v>
      </c>
      <c r="K374" s="148">
        <f t="shared" si="35"/>
        <v>0</v>
      </c>
    </row>
    <row r="375" spans="2:11" ht="15">
      <c r="B375" s="167" t="s">
        <v>470</v>
      </c>
      <c r="C375" s="168" t="s">
        <v>471</v>
      </c>
      <c r="D375" s="168" t="s">
        <v>450</v>
      </c>
      <c r="E375" s="168">
        <v>8</v>
      </c>
      <c r="F375" s="169">
        <f t="shared" si="36"/>
        <v>0</v>
      </c>
      <c r="G375" s="176">
        <v>0.616</v>
      </c>
      <c r="H375" s="170">
        <f t="shared" si="33"/>
        <v>0</v>
      </c>
      <c r="I375" s="168">
        <v>15.5</v>
      </c>
      <c r="J375" s="171">
        <f t="shared" si="34"/>
        <v>0</v>
      </c>
      <c r="K375" s="172">
        <f t="shared" si="35"/>
        <v>0</v>
      </c>
    </row>
    <row r="376" spans="2:11" ht="15">
      <c r="B376" s="144" t="s">
        <v>472</v>
      </c>
      <c r="C376" s="132" t="s">
        <v>471</v>
      </c>
      <c r="D376" s="132" t="s">
        <v>473</v>
      </c>
      <c r="E376" s="132">
        <v>8</v>
      </c>
      <c r="F376" s="169">
        <f t="shared" si="36"/>
        <v>0</v>
      </c>
      <c r="G376" s="175">
        <v>0.603</v>
      </c>
      <c r="H376" s="146">
        <f t="shared" si="33"/>
        <v>0</v>
      </c>
      <c r="I376" s="146">
        <v>9.1</v>
      </c>
      <c r="J376" s="147">
        <f t="shared" si="34"/>
        <v>0</v>
      </c>
      <c r="K376" s="148">
        <f t="shared" si="35"/>
        <v>0</v>
      </c>
    </row>
    <row r="377" spans="2:11" ht="15">
      <c r="B377" s="144" t="s">
        <v>474</v>
      </c>
      <c r="C377" s="132" t="s">
        <v>471</v>
      </c>
      <c r="D377" s="132" t="s">
        <v>475</v>
      </c>
      <c r="E377" s="132">
        <v>8</v>
      </c>
      <c r="F377" s="169">
        <f t="shared" si="36"/>
        <v>0</v>
      </c>
      <c r="G377" s="175">
        <v>0.603</v>
      </c>
      <c r="H377" s="146">
        <f t="shared" si="33"/>
        <v>0</v>
      </c>
      <c r="I377" s="146">
        <v>4.6</v>
      </c>
      <c r="J377" s="147">
        <f t="shared" si="34"/>
        <v>0</v>
      </c>
      <c r="K377" s="148">
        <f t="shared" si="35"/>
        <v>0</v>
      </c>
    </row>
    <row r="378" spans="2:11" ht="15">
      <c r="B378" s="144" t="s">
        <v>476</v>
      </c>
      <c r="C378" s="132" t="s">
        <v>447</v>
      </c>
      <c r="D378" s="132" t="s">
        <v>450</v>
      </c>
      <c r="E378" s="132">
        <v>8</v>
      </c>
      <c r="F378" s="169">
        <f t="shared" si="36"/>
        <v>0</v>
      </c>
      <c r="G378" s="175">
        <v>0.616</v>
      </c>
      <c r="H378" s="146">
        <f t="shared" si="33"/>
        <v>0</v>
      </c>
      <c r="I378" s="146">
        <v>10.2</v>
      </c>
      <c r="J378" s="147">
        <f t="shared" si="34"/>
        <v>0</v>
      </c>
      <c r="K378" s="148">
        <f t="shared" si="35"/>
        <v>0</v>
      </c>
    </row>
    <row r="379" spans="2:11" ht="15">
      <c r="B379" s="144" t="s">
        <v>477</v>
      </c>
      <c r="C379" s="132" t="s">
        <v>447</v>
      </c>
      <c r="D379" s="132" t="s">
        <v>473</v>
      </c>
      <c r="E379" s="132">
        <v>8</v>
      </c>
      <c r="F379" s="169">
        <f t="shared" si="36"/>
        <v>0</v>
      </c>
      <c r="G379" s="175">
        <v>0.603</v>
      </c>
      <c r="H379" s="146">
        <f t="shared" si="33"/>
        <v>0</v>
      </c>
      <c r="I379" s="146">
        <v>5.8</v>
      </c>
      <c r="J379" s="147">
        <f t="shared" si="34"/>
        <v>0</v>
      </c>
      <c r="K379" s="148">
        <f t="shared" si="35"/>
        <v>0</v>
      </c>
    </row>
    <row r="380" spans="2:11" ht="15.75" thickBot="1">
      <c r="B380" s="144" t="s">
        <v>478</v>
      </c>
      <c r="C380" s="132" t="s">
        <v>447</v>
      </c>
      <c r="D380" s="132" t="s">
        <v>475</v>
      </c>
      <c r="E380" s="132">
        <v>8</v>
      </c>
      <c r="F380" s="169">
        <f t="shared" si="36"/>
        <v>0</v>
      </c>
      <c r="G380" s="175">
        <v>0.603</v>
      </c>
      <c r="H380" s="146">
        <f t="shared" si="33"/>
        <v>0</v>
      </c>
      <c r="I380" s="146">
        <v>2.8</v>
      </c>
      <c r="J380" s="147">
        <f t="shared" si="34"/>
        <v>0</v>
      </c>
      <c r="K380" s="148">
        <f t="shared" si="35"/>
        <v>0</v>
      </c>
    </row>
    <row r="381" spans="2:11" ht="15.75" thickTop="1">
      <c r="B381" s="149"/>
      <c r="C381" s="150"/>
      <c r="D381" s="150"/>
      <c r="E381" s="150"/>
      <c r="F381" s="150"/>
      <c r="G381" s="177"/>
      <c r="H381" s="150"/>
      <c r="I381" s="151" t="s">
        <v>479</v>
      </c>
      <c r="J381" s="152">
        <f>SUM(J327:J380)</f>
        <v>0</v>
      </c>
      <c r="K381" s="143">
        <f t="shared" si="35"/>
        <v>0</v>
      </c>
    </row>
    <row r="382" spans="2:11" ht="15">
      <c r="B382" s="153"/>
      <c r="C382" s="154"/>
      <c r="D382" s="154"/>
      <c r="E382" s="154"/>
      <c r="F382" s="154"/>
      <c r="G382" s="178"/>
      <c r="H382" s="155"/>
      <c r="I382" s="156"/>
      <c r="J382" s="157"/>
      <c r="K382" s="148"/>
    </row>
    <row r="383" spans="2:11" ht="15.75" thickBot="1">
      <c r="B383" s="158"/>
      <c r="C383" s="159"/>
      <c r="D383" s="159"/>
      <c r="E383" s="159"/>
      <c r="F383" s="159"/>
      <c r="G383" s="179"/>
      <c r="H383" s="160"/>
      <c r="I383" s="161" t="s">
        <v>480</v>
      </c>
      <c r="J383" s="162">
        <f>J381*(44/12)</f>
        <v>0</v>
      </c>
      <c r="K383" s="163">
        <f>J383/2000</f>
        <v>0</v>
      </c>
    </row>
    <row r="384" ht="15.75" thickTop="1"/>
    <row r="385" spans="2:11" ht="15.75" thickBot="1">
      <c r="B385" s="217" t="s">
        <v>489</v>
      </c>
      <c r="C385" s="217"/>
      <c r="D385" s="217"/>
      <c r="E385" s="217"/>
      <c r="F385" s="217"/>
      <c r="G385" s="217"/>
      <c r="H385"/>
      <c r="I385"/>
      <c r="J385"/>
      <c r="K385"/>
    </row>
    <row r="386" spans="2:11" ht="15.75" thickBot="1">
      <c r="B386"/>
      <c r="C386"/>
      <c r="D386"/>
      <c r="E386"/>
      <c r="F386"/>
      <c r="G386"/>
      <c r="H386"/>
      <c r="I386"/>
      <c r="J386"/>
      <c r="K386"/>
    </row>
    <row r="387" spans="2:11" ht="15.75" thickTop="1">
      <c r="B387" s="127" t="s">
        <v>445</v>
      </c>
      <c r="C387" s="128"/>
      <c r="D387" s="128"/>
      <c r="E387" s="129" t="s">
        <v>446</v>
      </c>
      <c r="F387" s="129" t="s">
        <v>447</v>
      </c>
      <c r="G387" s="174" t="s">
        <v>448</v>
      </c>
      <c r="H387" s="129" t="s">
        <v>449</v>
      </c>
      <c r="I387" s="129" t="s">
        <v>450</v>
      </c>
      <c r="J387" s="128" t="s">
        <v>451</v>
      </c>
      <c r="K387" s="173"/>
    </row>
    <row r="388" spans="2:11" ht="15">
      <c r="B388" s="130" t="s">
        <v>452</v>
      </c>
      <c r="C388" s="131" t="s">
        <v>453</v>
      </c>
      <c r="D388" s="131" t="s">
        <v>454</v>
      </c>
      <c r="E388" s="132" t="s">
        <v>455</v>
      </c>
      <c r="F388" s="132" t="s">
        <v>456</v>
      </c>
      <c r="G388" s="175" t="s">
        <v>457</v>
      </c>
      <c r="H388" s="132" t="s">
        <v>458</v>
      </c>
      <c r="I388" s="132" t="s">
        <v>459</v>
      </c>
      <c r="J388" s="133" t="s">
        <v>460</v>
      </c>
      <c r="K388" s="134"/>
    </row>
    <row r="389" spans="2:11" ht="15.75" thickBot="1">
      <c r="B389" s="135"/>
      <c r="C389" s="136" t="s">
        <v>461</v>
      </c>
      <c r="D389" s="136" t="s">
        <v>462</v>
      </c>
      <c r="E389" s="136" t="s">
        <v>463</v>
      </c>
      <c r="F389" s="136" t="s">
        <v>464</v>
      </c>
      <c r="G389" s="175" t="s">
        <v>465</v>
      </c>
      <c r="H389" s="132" t="s">
        <v>466</v>
      </c>
      <c r="I389" s="132" t="s">
        <v>467</v>
      </c>
      <c r="J389" s="137" t="s">
        <v>468</v>
      </c>
      <c r="K389" s="138" t="s">
        <v>469</v>
      </c>
    </row>
    <row r="390" spans="2:11" ht="15.75" thickTop="1">
      <c r="B390" s="139" t="s">
        <v>470</v>
      </c>
      <c r="C390" s="129" t="s">
        <v>471</v>
      </c>
      <c r="D390" s="129" t="s">
        <v>450</v>
      </c>
      <c r="E390" s="129">
        <v>0</v>
      </c>
      <c r="F390" s="140">
        <f>+C25</f>
        <v>0</v>
      </c>
      <c r="G390" s="174">
        <v>0.873</v>
      </c>
      <c r="H390" s="141">
        <f aca="true" t="shared" si="37" ref="H390:H449">F390*G390</f>
        <v>0</v>
      </c>
      <c r="I390" s="129">
        <v>2.7</v>
      </c>
      <c r="J390" s="142">
        <f aca="true" t="shared" si="38" ref="J390:J449">H390*I390</f>
        <v>0</v>
      </c>
      <c r="K390" s="143">
        <f aca="true" t="shared" si="39" ref="K390:K450">J390/2000</f>
        <v>0</v>
      </c>
    </row>
    <row r="391" spans="2:11" ht="15">
      <c r="B391" s="144" t="s">
        <v>472</v>
      </c>
      <c r="C391" s="132" t="s">
        <v>471</v>
      </c>
      <c r="D391" s="132" t="s">
        <v>473</v>
      </c>
      <c r="E391" s="132">
        <v>0</v>
      </c>
      <c r="F391" s="145">
        <f>+D25</f>
        <v>0</v>
      </c>
      <c r="G391" s="175">
        <v>0.873</v>
      </c>
      <c r="H391" s="146">
        <f t="shared" si="37"/>
        <v>0</v>
      </c>
      <c r="I391" s="146">
        <v>1.9</v>
      </c>
      <c r="J391" s="147">
        <f t="shared" si="38"/>
        <v>0</v>
      </c>
      <c r="K391" s="148">
        <f t="shared" si="39"/>
        <v>0</v>
      </c>
    </row>
    <row r="392" spans="2:11" ht="15">
      <c r="B392" s="144" t="s">
        <v>474</v>
      </c>
      <c r="C392" s="132" t="s">
        <v>471</v>
      </c>
      <c r="D392" s="132" t="s">
        <v>475</v>
      </c>
      <c r="E392" s="132">
        <v>0</v>
      </c>
      <c r="F392" s="145">
        <f>+E25</f>
        <v>0</v>
      </c>
      <c r="G392" s="175">
        <v>0.873</v>
      </c>
      <c r="H392" s="146">
        <f t="shared" si="37"/>
        <v>0</v>
      </c>
      <c r="I392" s="146">
        <v>1.3</v>
      </c>
      <c r="J392" s="147">
        <f t="shared" si="38"/>
        <v>0</v>
      </c>
      <c r="K392" s="148">
        <f t="shared" si="39"/>
        <v>0</v>
      </c>
    </row>
    <row r="393" spans="2:11" ht="15">
      <c r="B393" s="144" t="s">
        <v>476</v>
      </c>
      <c r="C393" s="132" t="s">
        <v>447</v>
      </c>
      <c r="D393" s="132" t="s">
        <v>450</v>
      </c>
      <c r="E393" s="132">
        <v>0</v>
      </c>
      <c r="F393" s="145">
        <f>+F25</f>
        <v>0</v>
      </c>
      <c r="G393" s="175">
        <v>0.873</v>
      </c>
      <c r="H393" s="146">
        <f t="shared" si="37"/>
        <v>0</v>
      </c>
      <c r="I393" s="146">
        <v>1.4</v>
      </c>
      <c r="J393" s="147">
        <f t="shared" si="38"/>
        <v>0</v>
      </c>
      <c r="K393" s="148">
        <f t="shared" si="39"/>
        <v>0</v>
      </c>
    </row>
    <row r="394" spans="2:11" ht="15">
      <c r="B394" s="144" t="s">
        <v>477</v>
      </c>
      <c r="C394" s="132" t="s">
        <v>447</v>
      </c>
      <c r="D394" s="132" t="s">
        <v>473</v>
      </c>
      <c r="E394" s="132">
        <v>0</v>
      </c>
      <c r="F394" s="145">
        <f>+G25</f>
        <v>0</v>
      </c>
      <c r="G394" s="175">
        <v>0.873</v>
      </c>
      <c r="H394" s="146">
        <f t="shared" si="37"/>
        <v>0</v>
      </c>
      <c r="I394" s="146">
        <v>1</v>
      </c>
      <c r="J394" s="147">
        <f t="shared" si="38"/>
        <v>0</v>
      </c>
      <c r="K394" s="148">
        <f t="shared" si="39"/>
        <v>0</v>
      </c>
    </row>
    <row r="395" spans="2:11" ht="15">
      <c r="B395" s="144" t="s">
        <v>478</v>
      </c>
      <c r="C395" s="132" t="s">
        <v>447</v>
      </c>
      <c r="D395" s="132" t="s">
        <v>475</v>
      </c>
      <c r="E395" s="132">
        <v>0</v>
      </c>
      <c r="F395" s="145">
        <f>+H25</f>
        <v>0</v>
      </c>
      <c r="G395" s="175">
        <v>0.873</v>
      </c>
      <c r="H395" s="146">
        <f t="shared" si="37"/>
        <v>0</v>
      </c>
      <c r="I395" s="146">
        <v>0.7</v>
      </c>
      <c r="J395" s="147">
        <f t="shared" si="38"/>
        <v>0</v>
      </c>
      <c r="K395" s="148">
        <f t="shared" si="39"/>
        <v>0</v>
      </c>
    </row>
    <row r="396" spans="2:11" ht="15">
      <c r="B396" s="167" t="s">
        <v>470</v>
      </c>
      <c r="C396" s="168" t="s">
        <v>471</v>
      </c>
      <c r="D396" s="168" t="s">
        <v>450</v>
      </c>
      <c r="E396" s="168">
        <v>1</v>
      </c>
      <c r="F396" s="168">
        <f>+F327</f>
        <v>0</v>
      </c>
      <c r="G396" s="176">
        <v>0.798</v>
      </c>
      <c r="H396" s="170">
        <f t="shared" si="37"/>
        <v>0</v>
      </c>
      <c r="I396" s="168">
        <v>4</v>
      </c>
      <c r="J396" s="171">
        <f t="shared" si="38"/>
        <v>0</v>
      </c>
      <c r="K396" s="172">
        <f t="shared" si="39"/>
        <v>0</v>
      </c>
    </row>
    <row r="397" spans="2:11" ht="15">
      <c r="B397" s="144" t="s">
        <v>472</v>
      </c>
      <c r="C397" s="132" t="s">
        <v>471</v>
      </c>
      <c r="D397" s="132" t="s">
        <v>473</v>
      </c>
      <c r="E397" s="132">
        <v>1</v>
      </c>
      <c r="F397" s="168">
        <f aca="true" t="shared" si="40" ref="F397:F449">+F328</f>
        <v>0</v>
      </c>
      <c r="G397" s="175">
        <v>0.798</v>
      </c>
      <c r="H397" s="146">
        <f t="shared" si="37"/>
        <v>0</v>
      </c>
      <c r="I397" s="146">
        <v>2.7</v>
      </c>
      <c r="J397" s="147">
        <f t="shared" si="38"/>
        <v>0</v>
      </c>
      <c r="K397" s="148">
        <f t="shared" si="39"/>
        <v>0</v>
      </c>
    </row>
    <row r="398" spans="2:11" ht="15">
      <c r="B398" s="144" t="s">
        <v>474</v>
      </c>
      <c r="C398" s="132" t="s">
        <v>471</v>
      </c>
      <c r="D398" s="132" t="s">
        <v>475</v>
      </c>
      <c r="E398" s="132">
        <v>1</v>
      </c>
      <c r="F398" s="168">
        <f t="shared" si="40"/>
        <v>0</v>
      </c>
      <c r="G398" s="175">
        <v>0.798</v>
      </c>
      <c r="H398" s="146">
        <f t="shared" si="37"/>
        <v>0</v>
      </c>
      <c r="I398" s="146">
        <v>1.6</v>
      </c>
      <c r="J398" s="147">
        <f t="shared" si="38"/>
        <v>0</v>
      </c>
      <c r="K398" s="148">
        <f t="shared" si="39"/>
        <v>0</v>
      </c>
    </row>
    <row r="399" spans="2:11" ht="15">
      <c r="B399" s="144" t="s">
        <v>476</v>
      </c>
      <c r="C399" s="132" t="s">
        <v>447</v>
      </c>
      <c r="D399" s="132" t="s">
        <v>450</v>
      </c>
      <c r="E399" s="132">
        <v>1</v>
      </c>
      <c r="F399" s="168">
        <f t="shared" si="40"/>
        <v>0</v>
      </c>
      <c r="G399" s="175">
        <v>0.798</v>
      </c>
      <c r="H399" s="146">
        <f t="shared" si="37"/>
        <v>0</v>
      </c>
      <c r="I399" s="146">
        <v>2.2</v>
      </c>
      <c r="J399" s="147">
        <f t="shared" si="38"/>
        <v>0</v>
      </c>
      <c r="K399" s="148">
        <f t="shared" si="39"/>
        <v>0</v>
      </c>
    </row>
    <row r="400" spans="2:11" ht="15">
      <c r="B400" s="144" t="s">
        <v>477</v>
      </c>
      <c r="C400" s="132" t="s">
        <v>447</v>
      </c>
      <c r="D400" s="132" t="s">
        <v>473</v>
      </c>
      <c r="E400" s="132">
        <v>1</v>
      </c>
      <c r="F400" s="168">
        <f t="shared" si="40"/>
        <v>0</v>
      </c>
      <c r="G400" s="175">
        <v>0.798</v>
      </c>
      <c r="H400" s="146">
        <f t="shared" si="37"/>
        <v>0</v>
      </c>
      <c r="I400" s="146">
        <v>1.5</v>
      </c>
      <c r="J400" s="147">
        <f t="shared" si="38"/>
        <v>0</v>
      </c>
      <c r="K400" s="148">
        <f t="shared" si="39"/>
        <v>0</v>
      </c>
    </row>
    <row r="401" spans="2:11" ht="15">
      <c r="B401" s="144" t="s">
        <v>478</v>
      </c>
      <c r="C401" s="132" t="s">
        <v>447</v>
      </c>
      <c r="D401" s="132" t="s">
        <v>475</v>
      </c>
      <c r="E401" s="132">
        <v>1</v>
      </c>
      <c r="F401" s="168">
        <f t="shared" si="40"/>
        <v>0</v>
      </c>
      <c r="G401" s="175">
        <v>0.798</v>
      </c>
      <c r="H401" s="146">
        <f t="shared" si="37"/>
        <v>0</v>
      </c>
      <c r="I401" s="146">
        <v>0.9</v>
      </c>
      <c r="J401" s="147">
        <f t="shared" si="38"/>
        <v>0</v>
      </c>
      <c r="K401" s="148">
        <f t="shared" si="39"/>
        <v>0</v>
      </c>
    </row>
    <row r="402" spans="2:11" ht="15">
      <c r="B402" s="167" t="s">
        <v>470</v>
      </c>
      <c r="C402" s="168" t="s">
        <v>471</v>
      </c>
      <c r="D402" s="168" t="s">
        <v>450</v>
      </c>
      <c r="E402" s="168">
        <v>2</v>
      </c>
      <c r="F402" s="168">
        <f t="shared" si="40"/>
        <v>0</v>
      </c>
      <c r="G402" s="176">
        <v>0.736</v>
      </c>
      <c r="H402" s="170">
        <f t="shared" si="37"/>
        <v>0</v>
      </c>
      <c r="I402" s="168">
        <v>5.4</v>
      </c>
      <c r="J402" s="171">
        <f t="shared" si="38"/>
        <v>0</v>
      </c>
      <c r="K402" s="172">
        <f t="shared" si="39"/>
        <v>0</v>
      </c>
    </row>
    <row r="403" spans="2:11" ht="15">
      <c r="B403" s="144" t="s">
        <v>472</v>
      </c>
      <c r="C403" s="132" t="s">
        <v>471</v>
      </c>
      <c r="D403" s="132" t="s">
        <v>473</v>
      </c>
      <c r="E403" s="132">
        <v>2</v>
      </c>
      <c r="F403" s="168">
        <f t="shared" si="40"/>
        <v>0</v>
      </c>
      <c r="G403" s="175">
        <v>0.736</v>
      </c>
      <c r="H403" s="146">
        <f t="shared" si="37"/>
        <v>0</v>
      </c>
      <c r="I403" s="146">
        <v>3.5</v>
      </c>
      <c r="J403" s="147">
        <f t="shared" si="38"/>
        <v>0</v>
      </c>
      <c r="K403" s="148">
        <f t="shared" si="39"/>
        <v>0</v>
      </c>
    </row>
    <row r="404" spans="2:11" ht="15">
      <c r="B404" s="144" t="s">
        <v>474</v>
      </c>
      <c r="C404" s="132" t="s">
        <v>471</v>
      </c>
      <c r="D404" s="132" t="s">
        <v>475</v>
      </c>
      <c r="E404" s="132">
        <v>2</v>
      </c>
      <c r="F404" s="168">
        <f t="shared" si="40"/>
        <v>0</v>
      </c>
      <c r="G404" s="175">
        <v>0.736</v>
      </c>
      <c r="H404" s="146">
        <f t="shared" si="37"/>
        <v>0</v>
      </c>
      <c r="I404" s="146">
        <v>2</v>
      </c>
      <c r="J404" s="147">
        <f t="shared" si="38"/>
        <v>0</v>
      </c>
      <c r="K404" s="148">
        <f t="shared" si="39"/>
        <v>0</v>
      </c>
    </row>
    <row r="405" spans="2:11" ht="15">
      <c r="B405" s="144" t="s">
        <v>476</v>
      </c>
      <c r="C405" s="132" t="s">
        <v>447</v>
      </c>
      <c r="D405" s="132" t="s">
        <v>450</v>
      </c>
      <c r="E405" s="132">
        <v>2</v>
      </c>
      <c r="F405" s="168">
        <f t="shared" si="40"/>
        <v>0</v>
      </c>
      <c r="G405" s="175">
        <v>0.736</v>
      </c>
      <c r="H405" s="146">
        <f t="shared" si="37"/>
        <v>0</v>
      </c>
      <c r="I405" s="146">
        <v>3.1</v>
      </c>
      <c r="J405" s="147">
        <f t="shared" si="38"/>
        <v>0</v>
      </c>
      <c r="K405" s="148">
        <f t="shared" si="39"/>
        <v>0</v>
      </c>
    </row>
    <row r="406" spans="2:11" ht="15">
      <c r="B406" s="144" t="s">
        <v>477</v>
      </c>
      <c r="C406" s="132" t="s">
        <v>447</v>
      </c>
      <c r="D406" s="132" t="s">
        <v>473</v>
      </c>
      <c r="E406" s="132">
        <v>2</v>
      </c>
      <c r="F406" s="168">
        <f t="shared" si="40"/>
        <v>0</v>
      </c>
      <c r="G406" s="175">
        <v>0.736</v>
      </c>
      <c r="H406" s="146">
        <f t="shared" si="37"/>
        <v>0</v>
      </c>
      <c r="I406" s="146">
        <v>2</v>
      </c>
      <c r="J406" s="147">
        <f t="shared" si="38"/>
        <v>0</v>
      </c>
      <c r="K406" s="148">
        <f t="shared" si="39"/>
        <v>0</v>
      </c>
    </row>
    <row r="407" spans="2:11" ht="15">
      <c r="B407" s="144" t="s">
        <v>478</v>
      </c>
      <c r="C407" s="132" t="s">
        <v>447</v>
      </c>
      <c r="D407" s="132" t="s">
        <v>475</v>
      </c>
      <c r="E407" s="132">
        <v>2</v>
      </c>
      <c r="F407" s="168">
        <f t="shared" si="40"/>
        <v>0</v>
      </c>
      <c r="G407" s="175">
        <v>0.736</v>
      </c>
      <c r="H407" s="146">
        <f t="shared" si="37"/>
        <v>0</v>
      </c>
      <c r="I407" s="146">
        <v>1.1</v>
      </c>
      <c r="J407" s="147">
        <f t="shared" si="38"/>
        <v>0</v>
      </c>
      <c r="K407" s="148">
        <f t="shared" si="39"/>
        <v>0</v>
      </c>
    </row>
    <row r="408" spans="2:11" ht="15">
      <c r="B408" s="167" t="s">
        <v>470</v>
      </c>
      <c r="C408" s="168" t="s">
        <v>471</v>
      </c>
      <c r="D408" s="168" t="s">
        <v>450</v>
      </c>
      <c r="E408" s="168">
        <v>3</v>
      </c>
      <c r="F408" s="168">
        <f t="shared" si="40"/>
        <v>0</v>
      </c>
      <c r="G408" s="176">
        <v>0.706</v>
      </c>
      <c r="H408" s="170">
        <f t="shared" si="37"/>
        <v>0</v>
      </c>
      <c r="I408" s="168">
        <v>6.9</v>
      </c>
      <c r="J408" s="171">
        <f t="shared" si="38"/>
        <v>0</v>
      </c>
      <c r="K408" s="172">
        <f t="shared" si="39"/>
        <v>0</v>
      </c>
    </row>
    <row r="409" spans="2:11" ht="15">
      <c r="B409" s="144" t="s">
        <v>472</v>
      </c>
      <c r="C409" s="132" t="s">
        <v>471</v>
      </c>
      <c r="D409" s="132" t="s">
        <v>473</v>
      </c>
      <c r="E409" s="132">
        <v>3</v>
      </c>
      <c r="F409" s="168">
        <f t="shared" si="40"/>
        <v>0</v>
      </c>
      <c r="G409" s="175">
        <v>0.706</v>
      </c>
      <c r="H409" s="146">
        <f t="shared" si="37"/>
        <v>0</v>
      </c>
      <c r="I409" s="146">
        <v>4.3</v>
      </c>
      <c r="J409" s="147">
        <f t="shared" si="38"/>
        <v>0</v>
      </c>
      <c r="K409" s="148">
        <f t="shared" si="39"/>
        <v>0</v>
      </c>
    </row>
    <row r="410" spans="2:11" ht="15">
      <c r="B410" s="144" t="s">
        <v>474</v>
      </c>
      <c r="C410" s="132" t="s">
        <v>471</v>
      </c>
      <c r="D410" s="132" t="s">
        <v>475</v>
      </c>
      <c r="E410" s="132">
        <v>3</v>
      </c>
      <c r="F410" s="168">
        <f t="shared" si="40"/>
        <v>0</v>
      </c>
      <c r="G410" s="175">
        <v>0.706</v>
      </c>
      <c r="H410" s="146">
        <f t="shared" si="37"/>
        <v>0</v>
      </c>
      <c r="I410" s="146">
        <v>2.4</v>
      </c>
      <c r="J410" s="147">
        <f t="shared" si="38"/>
        <v>0</v>
      </c>
      <c r="K410" s="148">
        <f t="shared" si="39"/>
        <v>0</v>
      </c>
    </row>
    <row r="411" spans="2:11" ht="15">
      <c r="B411" s="144" t="s">
        <v>476</v>
      </c>
      <c r="C411" s="132" t="s">
        <v>447</v>
      </c>
      <c r="D411" s="132" t="s">
        <v>450</v>
      </c>
      <c r="E411" s="132">
        <v>3</v>
      </c>
      <c r="F411" s="168">
        <f t="shared" si="40"/>
        <v>0</v>
      </c>
      <c r="G411" s="175">
        <v>0.706</v>
      </c>
      <c r="H411" s="146">
        <f t="shared" si="37"/>
        <v>0</v>
      </c>
      <c r="I411" s="146">
        <v>4.1</v>
      </c>
      <c r="J411" s="147">
        <f t="shared" si="38"/>
        <v>0</v>
      </c>
      <c r="K411" s="148">
        <f t="shared" si="39"/>
        <v>0</v>
      </c>
    </row>
    <row r="412" spans="2:11" ht="15">
      <c r="B412" s="144" t="s">
        <v>477</v>
      </c>
      <c r="C412" s="132" t="s">
        <v>447</v>
      </c>
      <c r="D412" s="132" t="s">
        <v>473</v>
      </c>
      <c r="E412" s="132">
        <v>3</v>
      </c>
      <c r="F412" s="168">
        <f t="shared" si="40"/>
        <v>0</v>
      </c>
      <c r="G412" s="175">
        <v>0.706</v>
      </c>
      <c r="H412" s="146">
        <f t="shared" si="37"/>
        <v>0</v>
      </c>
      <c r="I412" s="146">
        <v>2.5</v>
      </c>
      <c r="J412" s="147">
        <f t="shared" si="38"/>
        <v>0</v>
      </c>
      <c r="K412" s="148">
        <f t="shared" si="39"/>
        <v>0</v>
      </c>
    </row>
    <row r="413" spans="2:11" ht="15">
      <c r="B413" s="144" t="s">
        <v>478</v>
      </c>
      <c r="C413" s="132" t="s">
        <v>447</v>
      </c>
      <c r="D413" s="132" t="s">
        <v>475</v>
      </c>
      <c r="E413" s="132">
        <v>3</v>
      </c>
      <c r="F413" s="168">
        <f t="shared" si="40"/>
        <v>0</v>
      </c>
      <c r="G413" s="175">
        <v>0.706</v>
      </c>
      <c r="H413" s="146">
        <f t="shared" si="37"/>
        <v>0</v>
      </c>
      <c r="I413" s="146">
        <v>1.4</v>
      </c>
      <c r="J413" s="147">
        <f t="shared" si="38"/>
        <v>0</v>
      </c>
      <c r="K413" s="148">
        <f t="shared" si="39"/>
        <v>0</v>
      </c>
    </row>
    <row r="414" spans="2:11" ht="15">
      <c r="B414" s="167" t="s">
        <v>470</v>
      </c>
      <c r="C414" s="168" t="s">
        <v>471</v>
      </c>
      <c r="D414" s="168" t="s">
        <v>450</v>
      </c>
      <c r="E414" s="168">
        <v>4</v>
      </c>
      <c r="F414" s="168">
        <f t="shared" si="40"/>
        <v>0</v>
      </c>
      <c r="G414" s="176">
        <v>0.678</v>
      </c>
      <c r="H414" s="170">
        <f t="shared" si="37"/>
        <v>0</v>
      </c>
      <c r="I414" s="168">
        <v>8.5</v>
      </c>
      <c r="J414" s="171">
        <f t="shared" si="38"/>
        <v>0</v>
      </c>
      <c r="K414" s="172">
        <f t="shared" si="39"/>
        <v>0</v>
      </c>
    </row>
    <row r="415" spans="2:11" ht="15">
      <c r="B415" s="144" t="s">
        <v>472</v>
      </c>
      <c r="C415" s="132" t="s">
        <v>471</v>
      </c>
      <c r="D415" s="132" t="s">
        <v>473</v>
      </c>
      <c r="E415" s="132">
        <v>4</v>
      </c>
      <c r="F415" s="168">
        <f t="shared" si="40"/>
        <v>0</v>
      </c>
      <c r="G415" s="175">
        <v>0.678</v>
      </c>
      <c r="H415" s="146">
        <f t="shared" si="37"/>
        <v>0</v>
      </c>
      <c r="I415" s="146">
        <v>5.2</v>
      </c>
      <c r="J415" s="147">
        <f t="shared" si="38"/>
        <v>0</v>
      </c>
      <c r="K415" s="148">
        <f t="shared" si="39"/>
        <v>0</v>
      </c>
    </row>
    <row r="416" spans="2:11" ht="15">
      <c r="B416" s="144" t="s">
        <v>474</v>
      </c>
      <c r="C416" s="132" t="s">
        <v>471</v>
      </c>
      <c r="D416" s="132" t="s">
        <v>475</v>
      </c>
      <c r="E416" s="132">
        <v>4</v>
      </c>
      <c r="F416" s="168">
        <f t="shared" si="40"/>
        <v>0</v>
      </c>
      <c r="G416" s="175">
        <v>0.678</v>
      </c>
      <c r="H416" s="146">
        <f t="shared" si="37"/>
        <v>0</v>
      </c>
      <c r="I416" s="146">
        <v>2.8</v>
      </c>
      <c r="J416" s="147">
        <f t="shared" si="38"/>
        <v>0</v>
      </c>
      <c r="K416" s="148">
        <f t="shared" si="39"/>
        <v>0</v>
      </c>
    </row>
    <row r="417" spans="2:11" ht="15">
      <c r="B417" s="144" t="s">
        <v>476</v>
      </c>
      <c r="C417" s="132" t="s">
        <v>447</v>
      </c>
      <c r="D417" s="132" t="s">
        <v>450</v>
      </c>
      <c r="E417" s="132">
        <v>4</v>
      </c>
      <c r="F417" s="168">
        <f t="shared" si="40"/>
        <v>0</v>
      </c>
      <c r="G417" s="175">
        <v>0.678</v>
      </c>
      <c r="H417" s="146">
        <f t="shared" si="37"/>
        <v>0</v>
      </c>
      <c r="I417" s="146">
        <v>5.2</v>
      </c>
      <c r="J417" s="147">
        <f t="shared" si="38"/>
        <v>0</v>
      </c>
      <c r="K417" s="148">
        <f t="shared" si="39"/>
        <v>0</v>
      </c>
    </row>
    <row r="418" spans="2:11" ht="15">
      <c r="B418" s="144" t="s">
        <v>477</v>
      </c>
      <c r="C418" s="132" t="s">
        <v>447</v>
      </c>
      <c r="D418" s="132" t="s">
        <v>473</v>
      </c>
      <c r="E418" s="132">
        <v>4</v>
      </c>
      <c r="F418" s="168">
        <f t="shared" si="40"/>
        <v>0</v>
      </c>
      <c r="G418" s="175">
        <v>0.678</v>
      </c>
      <c r="H418" s="146">
        <f t="shared" si="37"/>
        <v>0</v>
      </c>
      <c r="I418" s="146">
        <v>3.1</v>
      </c>
      <c r="J418" s="147">
        <f t="shared" si="38"/>
        <v>0</v>
      </c>
      <c r="K418" s="148">
        <f t="shared" si="39"/>
        <v>0</v>
      </c>
    </row>
    <row r="419" spans="2:11" ht="15">
      <c r="B419" s="144" t="s">
        <v>478</v>
      </c>
      <c r="C419" s="132" t="s">
        <v>447</v>
      </c>
      <c r="D419" s="132" t="s">
        <v>475</v>
      </c>
      <c r="E419" s="132">
        <v>4</v>
      </c>
      <c r="F419" s="168">
        <f t="shared" si="40"/>
        <v>0</v>
      </c>
      <c r="G419" s="175">
        <v>0.678</v>
      </c>
      <c r="H419" s="146">
        <f t="shared" si="37"/>
        <v>0</v>
      </c>
      <c r="I419" s="146">
        <v>1.6</v>
      </c>
      <c r="J419" s="147">
        <f t="shared" si="38"/>
        <v>0</v>
      </c>
      <c r="K419" s="148">
        <f t="shared" si="39"/>
        <v>0</v>
      </c>
    </row>
    <row r="420" spans="2:11" ht="15">
      <c r="B420" s="167" t="s">
        <v>470</v>
      </c>
      <c r="C420" s="168" t="s">
        <v>471</v>
      </c>
      <c r="D420" s="168" t="s">
        <v>450</v>
      </c>
      <c r="E420" s="168">
        <v>5</v>
      </c>
      <c r="F420" s="168">
        <f t="shared" si="40"/>
        <v>0</v>
      </c>
      <c r="G420" s="176">
        <v>0.658</v>
      </c>
      <c r="H420" s="170">
        <f t="shared" si="37"/>
        <v>0</v>
      </c>
      <c r="I420" s="168">
        <v>10.1</v>
      </c>
      <c r="J420" s="171">
        <f t="shared" si="38"/>
        <v>0</v>
      </c>
      <c r="K420" s="172">
        <f t="shared" si="39"/>
        <v>0</v>
      </c>
    </row>
    <row r="421" spans="2:11" ht="15">
      <c r="B421" s="144" t="s">
        <v>472</v>
      </c>
      <c r="C421" s="132" t="s">
        <v>471</v>
      </c>
      <c r="D421" s="132" t="s">
        <v>473</v>
      </c>
      <c r="E421" s="132">
        <v>5</v>
      </c>
      <c r="F421" s="168">
        <f t="shared" si="40"/>
        <v>0</v>
      </c>
      <c r="G421" s="175">
        <v>0.658</v>
      </c>
      <c r="H421" s="146">
        <f t="shared" si="37"/>
        <v>0</v>
      </c>
      <c r="I421" s="146">
        <v>6.1</v>
      </c>
      <c r="J421" s="147">
        <f t="shared" si="38"/>
        <v>0</v>
      </c>
      <c r="K421" s="148">
        <f t="shared" si="39"/>
        <v>0</v>
      </c>
    </row>
    <row r="422" spans="2:11" ht="15">
      <c r="B422" s="144" t="s">
        <v>474</v>
      </c>
      <c r="C422" s="132" t="s">
        <v>471</v>
      </c>
      <c r="D422" s="132" t="s">
        <v>475</v>
      </c>
      <c r="E422" s="132">
        <v>5</v>
      </c>
      <c r="F422" s="168">
        <f t="shared" si="40"/>
        <v>0</v>
      </c>
      <c r="G422" s="175">
        <v>0.658</v>
      </c>
      <c r="H422" s="146">
        <f t="shared" si="37"/>
        <v>0</v>
      </c>
      <c r="I422" s="146">
        <v>3.2</v>
      </c>
      <c r="J422" s="147">
        <f t="shared" si="38"/>
        <v>0</v>
      </c>
      <c r="K422" s="148">
        <f t="shared" si="39"/>
        <v>0</v>
      </c>
    </row>
    <row r="423" spans="2:11" ht="15">
      <c r="B423" s="144" t="s">
        <v>476</v>
      </c>
      <c r="C423" s="132" t="s">
        <v>447</v>
      </c>
      <c r="D423" s="132" t="s">
        <v>450</v>
      </c>
      <c r="E423" s="132">
        <v>5</v>
      </c>
      <c r="F423" s="168">
        <f t="shared" si="40"/>
        <v>0</v>
      </c>
      <c r="G423" s="175">
        <v>0.658</v>
      </c>
      <c r="H423" s="146">
        <f t="shared" si="37"/>
        <v>0</v>
      </c>
      <c r="I423" s="146">
        <v>6.4</v>
      </c>
      <c r="J423" s="147">
        <f t="shared" si="38"/>
        <v>0</v>
      </c>
      <c r="K423" s="148">
        <f t="shared" si="39"/>
        <v>0</v>
      </c>
    </row>
    <row r="424" spans="2:11" ht="15">
      <c r="B424" s="144" t="s">
        <v>477</v>
      </c>
      <c r="C424" s="132" t="s">
        <v>447</v>
      </c>
      <c r="D424" s="132" t="s">
        <v>473</v>
      </c>
      <c r="E424" s="132">
        <v>5</v>
      </c>
      <c r="F424" s="168">
        <f t="shared" si="40"/>
        <v>0</v>
      </c>
      <c r="G424" s="175">
        <v>0.658</v>
      </c>
      <c r="H424" s="146">
        <f t="shared" si="37"/>
        <v>0</v>
      </c>
      <c r="I424" s="146">
        <v>3.7</v>
      </c>
      <c r="J424" s="147">
        <f t="shared" si="38"/>
        <v>0</v>
      </c>
      <c r="K424" s="148">
        <f t="shared" si="39"/>
        <v>0</v>
      </c>
    </row>
    <row r="425" spans="2:11" ht="15">
      <c r="B425" s="144" t="s">
        <v>478</v>
      </c>
      <c r="C425" s="132" t="s">
        <v>447</v>
      </c>
      <c r="D425" s="132" t="s">
        <v>475</v>
      </c>
      <c r="E425" s="132">
        <v>5</v>
      </c>
      <c r="F425" s="168">
        <f t="shared" si="40"/>
        <v>0</v>
      </c>
      <c r="G425" s="175">
        <v>0.658</v>
      </c>
      <c r="H425" s="146">
        <f t="shared" si="37"/>
        <v>0</v>
      </c>
      <c r="I425" s="146">
        <v>1.9</v>
      </c>
      <c r="J425" s="147">
        <f t="shared" si="38"/>
        <v>0</v>
      </c>
      <c r="K425" s="148">
        <f t="shared" si="39"/>
        <v>0</v>
      </c>
    </row>
    <row r="426" spans="2:11" ht="15">
      <c r="B426" s="167" t="s">
        <v>470</v>
      </c>
      <c r="C426" s="168" t="s">
        <v>471</v>
      </c>
      <c r="D426" s="168" t="s">
        <v>450</v>
      </c>
      <c r="E426" s="168">
        <v>6</v>
      </c>
      <c r="F426" s="168">
        <f t="shared" si="40"/>
        <v>0</v>
      </c>
      <c r="G426" s="176">
        <v>0.644</v>
      </c>
      <c r="H426" s="170">
        <f t="shared" si="37"/>
        <v>0</v>
      </c>
      <c r="I426" s="168">
        <v>11.8</v>
      </c>
      <c r="J426" s="171">
        <f t="shared" si="38"/>
        <v>0</v>
      </c>
      <c r="K426" s="172">
        <f t="shared" si="39"/>
        <v>0</v>
      </c>
    </row>
    <row r="427" spans="2:11" ht="15">
      <c r="B427" s="144" t="s">
        <v>472</v>
      </c>
      <c r="C427" s="132" t="s">
        <v>471</v>
      </c>
      <c r="D427" s="132" t="s">
        <v>473</v>
      </c>
      <c r="E427" s="132">
        <v>6</v>
      </c>
      <c r="F427" s="168">
        <f t="shared" si="40"/>
        <v>0</v>
      </c>
      <c r="G427" s="175">
        <v>0.639</v>
      </c>
      <c r="H427" s="146">
        <f t="shared" si="37"/>
        <v>0</v>
      </c>
      <c r="I427" s="146">
        <v>7.1</v>
      </c>
      <c r="J427" s="147">
        <f t="shared" si="38"/>
        <v>0</v>
      </c>
      <c r="K427" s="148">
        <f t="shared" si="39"/>
        <v>0</v>
      </c>
    </row>
    <row r="428" spans="2:11" ht="15">
      <c r="B428" s="144" t="s">
        <v>474</v>
      </c>
      <c r="C428" s="132" t="s">
        <v>471</v>
      </c>
      <c r="D428" s="132" t="s">
        <v>475</v>
      </c>
      <c r="E428" s="132">
        <v>6</v>
      </c>
      <c r="F428" s="168">
        <f t="shared" si="40"/>
        <v>0</v>
      </c>
      <c r="G428" s="175">
        <v>0.639</v>
      </c>
      <c r="H428" s="146">
        <f t="shared" si="37"/>
        <v>0</v>
      </c>
      <c r="I428" s="146">
        <v>3.7</v>
      </c>
      <c r="J428" s="147">
        <f t="shared" si="38"/>
        <v>0</v>
      </c>
      <c r="K428" s="148">
        <f t="shared" si="39"/>
        <v>0</v>
      </c>
    </row>
    <row r="429" spans="2:11" ht="15">
      <c r="B429" s="144" t="s">
        <v>476</v>
      </c>
      <c r="C429" s="132" t="s">
        <v>447</v>
      </c>
      <c r="D429" s="132" t="s">
        <v>450</v>
      </c>
      <c r="E429" s="132">
        <v>6</v>
      </c>
      <c r="F429" s="168">
        <f t="shared" si="40"/>
        <v>0</v>
      </c>
      <c r="G429" s="175">
        <v>0.644</v>
      </c>
      <c r="H429" s="146">
        <f t="shared" si="37"/>
        <v>0</v>
      </c>
      <c r="I429" s="146">
        <v>7.6</v>
      </c>
      <c r="J429" s="147">
        <f t="shared" si="38"/>
        <v>0</v>
      </c>
      <c r="K429" s="148">
        <f t="shared" si="39"/>
        <v>0</v>
      </c>
    </row>
    <row r="430" spans="2:11" ht="15">
      <c r="B430" s="144" t="s">
        <v>477</v>
      </c>
      <c r="C430" s="132" t="s">
        <v>447</v>
      </c>
      <c r="D430" s="132" t="s">
        <v>473</v>
      </c>
      <c r="E430" s="132">
        <v>6</v>
      </c>
      <c r="F430" s="168">
        <f t="shared" si="40"/>
        <v>0</v>
      </c>
      <c r="G430" s="175">
        <v>0.639</v>
      </c>
      <c r="H430" s="146">
        <f t="shared" si="37"/>
        <v>0</v>
      </c>
      <c r="I430" s="146">
        <v>4.4</v>
      </c>
      <c r="J430" s="147">
        <f t="shared" si="38"/>
        <v>0</v>
      </c>
      <c r="K430" s="148">
        <f t="shared" si="39"/>
        <v>0</v>
      </c>
    </row>
    <row r="431" spans="2:11" ht="15">
      <c r="B431" s="144" t="s">
        <v>478</v>
      </c>
      <c r="C431" s="132" t="s">
        <v>447</v>
      </c>
      <c r="D431" s="132" t="s">
        <v>475</v>
      </c>
      <c r="E431" s="132">
        <v>6</v>
      </c>
      <c r="F431" s="168">
        <f t="shared" si="40"/>
        <v>0</v>
      </c>
      <c r="G431" s="175">
        <v>0.639</v>
      </c>
      <c r="H431" s="146">
        <f t="shared" si="37"/>
        <v>0</v>
      </c>
      <c r="I431" s="146">
        <v>2.2</v>
      </c>
      <c r="J431" s="147">
        <f t="shared" si="38"/>
        <v>0</v>
      </c>
      <c r="K431" s="148">
        <f t="shared" si="39"/>
        <v>0</v>
      </c>
    </row>
    <row r="432" spans="2:11" ht="15">
      <c r="B432" s="167" t="s">
        <v>470</v>
      </c>
      <c r="C432" s="168" t="s">
        <v>471</v>
      </c>
      <c r="D432" s="168" t="s">
        <v>450</v>
      </c>
      <c r="E432" s="168">
        <v>7</v>
      </c>
      <c r="F432" s="168">
        <f t="shared" si="40"/>
        <v>0</v>
      </c>
      <c r="G432" s="176">
        <v>0.63</v>
      </c>
      <c r="H432" s="170">
        <f t="shared" si="37"/>
        <v>0</v>
      </c>
      <c r="I432" s="168">
        <v>13.6</v>
      </c>
      <c r="J432" s="171">
        <f t="shared" si="38"/>
        <v>0</v>
      </c>
      <c r="K432" s="172">
        <f t="shared" si="39"/>
        <v>0</v>
      </c>
    </row>
    <row r="433" spans="2:11" ht="15">
      <c r="B433" s="144" t="s">
        <v>472</v>
      </c>
      <c r="C433" s="132" t="s">
        <v>471</v>
      </c>
      <c r="D433" s="132" t="s">
        <v>473</v>
      </c>
      <c r="E433" s="132">
        <v>7</v>
      </c>
      <c r="F433" s="168">
        <f t="shared" si="40"/>
        <v>0</v>
      </c>
      <c r="G433" s="175">
        <v>0.621</v>
      </c>
      <c r="H433" s="146">
        <f t="shared" si="37"/>
        <v>0</v>
      </c>
      <c r="I433" s="146">
        <v>8.1</v>
      </c>
      <c r="J433" s="147">
        <f t="shared" si="38"/>
        <v>0</v>
      </c>
      <c r="K433" s="148">
        <f t="shared" si="39"/>
        <v>0</v>
      </c>
    </row>
    <row r="434" spans="2:11" ht="15">
      <c r="B434" s="144" t="s">
        <v>474</v>
      </c>
      <c r="C434" s="132" t="s">
        <v>471</v>
      </c>
      <c r="D434" s="132" t="s">
        <v>475</v>
      </c>
      <c r="E434" s="132">
        <v>7</v>
      </c>
      <c r="F434" s="168">
        <f t="shared" si="40"/>
        <v>0</v>
      </c>
      <c r="G434" s="175">
        <v>0.621</v>
      </c>
      <c r="H434" s="146">
        <f t="shared" si="37"/>
        <v>0</v>
      </c>
      <c r="I434" s="146">
        <v>4.1</v>
      </c>
      <c r="J434" s="147">
        <f t="shared" si="38"/>
        <v>0</v>
      </c>
      <c r="K434" s="148">
        <f t="shared" si="39"/>
        <v>0</v>
      </c>
    </row>
    <row r="435" spans="2:11" ht="15">
      <c r="B435" s="144" t="s">
        <v>476</v>
      </c>
      <c r="C435" s="132" t="s">
        <v>447</v>
      </c>
      <c r="D435" s="132" t="s">
        <v>450</v>
      </c>
      <c r="E435" s="132">
        <v>7</v>
      </c>
      <c r="F435" s="168">
        <f t="shared" si="40"/>
        <v>0</v>
      </c>
      <c r="G435" s="175">
        <v>0.63</v>
      </c>
      <c r="H435" s="146">
        <f t="shared" si="37"/>
        <v>0</v>
      </c>
      <c r="I435" s="146">
        <v>8.9</v>
      </c>
      <c r="J435" s="147">
        <f t="shared" si="38"/>
        <v>0</v>
      </c>
      <c r="K435" s="148">
        <f t="shared" si="39"/>
        <v>0</v>
      </c>
    </row>
    <row r="436" spans="2:11" ht="15">
      <c r="B436" s="144" t="s">
        <v>477</v>
      </c>
      <c r="C436" s="132" t="s">
        <v>447</v>
      </c>
      <c r="D436" s="132" t="s">
        <v>473</v>
      </c>
      <c r="E436" s="132">
        <v>7</v>
      </c>
      <c r="F436" s="168">
        <f t="shared" si="40"/>
        <v>0</v>
      </c>
      <c r="G436" s="175">
        <v>0.621</v>
      </c>
      <c r="H436" s="146">
        <f t="shared" si="37"/>
        <v>0</v>
      </c>
      <c r="I436" s="146">
        <v>5.1</v>
      </c>
      <c r="J436" s="147">
        <f t="shared" si="38"/>
        <v>0</v>
      </c>
      <c r="K436" s="148">
        <f t="shared" si="39"/>
        <v>0</v>
      </c>
    </row>
    <row r="437" spans="2:11" ht="15">
      <c r="B437" s="144" t="s">
        <v>478</v>
      </c>
      <c r="C437" s="132" t="s">
        <v>447</v>
      </c>
      <c r="D437" s="132" t="s">
        <v>475</v>
      </c>
      <c r="E437" s="132">
        <v>7</v>
      </c>
      <c r="F437" s="168">
        <f t="shared" si="40"/>
        <v>0</v>
      </c>
      <c r="G437" s="175">
        <v>0.621</v>
      </c>
      <c r="H437" s="146">
        <f t="shared" si="37"/>
        <v>0</v>
      </c>
      <c r="I437" s="146">
        <v>2.5</v>
      </c>
      <c r="J437" s="147">
        <f t="shared" si="38"/>
        <v>0</v>
      </c>
      <c r="K437" s="148">
        <f t="shared" si="39"/>
        <v>0</v>
      </c>
    </row>
    <row r="438" spans="2:11" ht="15">
      <c r="B438" s="167" t="s">
        <v>470</v>
      </c>
      <c r="C438" s="168" t="s">
        <v>471</v>
      </c>
      <c r="D438" s="168" t="s">
        <v>450</v>
      </c>
      <c r="E438" s="168">
        <v>8</v>
      </c>
      <c r="F438" s="168">
        <f t="shared" si="40"/>
        <v>0</v>
      </c>
      <c r="G438" s="176">
        <v>0.616</v>
      </c>
      <c r="H438" s="170">
        <f t="shared" si="37"/>
        <v>0</v>
      </c>
      <c r="I438" s="168">
        <v>15.5</v>
      </c>
      <c r="J438" s="171">
        <f t="shared" si="38"/>
        <v>0</v>
      </c>
      <c r="K438" s="172">
        <f t="shared" si="39"/>
        <v>0</v>
      </c>
    </row>
    <row r="439" spans="2:11" ht="15">
      <c r="B439" s="144" t="s">
        <v>472</v>
      </c>
      <c r="C439" s="132" t="s">
        <v>471</v>
      </c>
      <c r="D439" s="132" t="s">
        <v>473</v>
      </c>
      <c r="E439" s="132">
        <v>8</v>
      </c>
      <c r="F439" s="168">
        <f t="shared" si="40"/>
        <v>0</v>
      </c>
      <c r="G439" s="175">
        <v>0.603</v>
      </c>
      <c r="H439" s="146">
        <f t="shared" si="37"/>
        <v>0</v>
      </c>
      <c r="I439" s="146">
        <v>9.1</v>
      </c>
      <c r="J439" s="147">
        <f t="shared" si="38"/>
        <v>0</v>
      </c>
      <c r="K439" s="148">
        <f t="shared" si="39"/>
        <v>0</v>
      </c>
    </row>
    <row r="440" spans="2:11" ht="15">
      <c r="B440" s="144" t="s">
        <v>474</v>
      </c>
      <c r="C440" s="132" t="s">
        <v>471</v>
      </c>
      <c r="D440" s="132" t="s">
        <v>475</v>
      </c>
      <c r="E440" s="132">
        <v>8</v>
      </c>
      <c r="F440" s="168">
        <f t="shared" si="40"/>
        <v>0</v>
      </c>
      <c r="G440" s="175">
        <v>0.603</v>
      </c>
      <c r="H440" s="146">
        <f t="shared" si="37"/>
        <v>0</v>
      </c>
      <c r="I440" s="146">
        <v>4.6</v>
      </c>
      <c r="J440" s="147">
        <f t="shared" si="38"/>
        <v>0</v>
      </c>
      <c r="K440" s="148">
        <f t="shared" si="39"/>
        <v>0</v>
      </c>
    </row>
    <row r="441" spans="2:11" ht="15">
      <c r="B441" s="144" t="s">
        <v>476</v>
      </c>
      <c r="C441" s="132" t="s">
        <v>447</v>
      </c>
      <c r="D441" s="132" t="s">
        <v>450</v>
      </c>
      <c r="E441" s="132">
        <v>8</v>
      </c>
      <c r="F441" s="168">
        <f t="shared" si="40"/>
        <v>0</v>
      </c>
      <c r="G441" s="175">
        <v>0.616</v>
      </c>
      <c r="H441" s="146">
        <f t="shared" si="37"/>
        <v>0</v>
      </c>
      <c r="I441" s="146">
        <v>10.2</v>
      </c>
      <c r="J441" s="147">
        <f t="shared" si="38"/>
        <v>0</v>
      </c>
      <c r="K441" s="148">
        <f t="shared" si="39"/>
        <v>0</v>
      </c>
    </row>
    <row r="442" spans="2:11" ht="15">
      <c r="B442" s="144" t="s">
        <v>477</v>
      </c>
      <c r="C442" s="132" t="s">
        <v>447</v>
      </c>
      <c r="D442" s="132" t="s">
        <v>473</v>
      </c>
      <c r="E442" s="132">
        <v>8</v>
      </c>
      <c r="F442" s="168">
        <f t="shared" si="40"/>
        <v>0</v>
      </c>
      <c r="G442" s="175">
        <v>0.603</v>
      </c>
      <c r="H442" s="146">
        <f t="shared" si="37"/>
        <v>0</v>
      </c>
      <c r="I442" s="146">
        <v>5.8</v>
      </c>
      <c r="J442" s="147">
        <f t="shared" si="38"/>
        <v>0</v>
      </c>
      <c r="K442" s="148">
        <f t="shared" si="39"/>
        <v>0</v>
      </c>
    </row>
    <row r="443" spans="2:11" ht="15">
      <c r="B443" s="144" t="s">
        <v>478</v>
      </c>
      <c r="C443" s="132" t="s">
        <v>447</v>
      </c>
      <c r="D443" s="132" t="s">
        <v>475</v>
      </c>
      <c r="E443" s="132">
        <v>8</v>
      </c>
      <c r="F443" s="168">
        <f t="shared" si="40"/>
        <v>0</v>
      </c>
      <c r="G443" s="175">
        <v>0.603</v>
      </c>
      <c r="H443" s="146">
        <f t="shared" si="37"/>
        <v>0</v>
      </c>
      <c r="I443" s="146">
        <v>2.8</v>
      </c>
      <c r="J443" s="147">
        <f t="shared" si="38"/>
        <v>0</v>
      </c>
      <c r="K443" s="148">
        <f t="shared" si="39"/>
        <v>0</v>
      </c>
    </row>
    <row r="444" spans="2:11" ht="15">
      <c r="B444" s="167" t="s">
        <v>470</v>
      </c>
      <c r="C444" s="168" t="s">
        <v>471</v>
      </c>
      <c r="D444" s="168" t="s">
        <v>450</v>
      </c>
      <c r="E444" s="168">
        <v>9</v>
      </c>
      <c r="F444" s="168">
        <f t="shared" si="40"/>
        <v>0</v>
      </c>
      <c r="G444" s="176">
        <v>0.602</v>
      </c>
      <c r="H444" s="170">
        <f t="shared" si="37"/>
        <v>0</v>
      </c>
      <c r="I444" s="168">
        <v>17.4</v>
      </c>
      <c r="J444" s="171">
        <f t="shared" si="38"/>
        <v>0</v>
      </c>
      <c r="K444" s="172">
        <f t="shared" si="39"/>
        <v>0</v>
      </c>
    </row>
    <row r="445" spans="2:11" ht="15">
      <c r="B445" s="144" t="s">
        <v>472</v>
      </c>
      <c r="C445" s="132" t="s">
        <v>471</v>
      </c>
      <c r="D445" s="132" t="s">
        <v>473</v>
      </c>
      <c r="E445" s="132">
        <v>9</v>
      </c>
      <c r="F445" s="168">
        <f t="shared" si="40"/>
        <v>0</v>
      </c>
      <c r="G445" s="175">
        <v>0.589</v>
      </c>
      <c r="H445" s="146">
        <f t="shared" si="37"/>
        <v>0</v>
      </c>
      <c r="I445" s="146">
        <v>10.2</v>
      </c>
      <c r="J445" s="147">
        <f t="shared" si="38"/>
        <v>0</v>
      </c>
      <c r="K445" s="148">
        <f t="shared" si="39"/>
        <v>0</v>
      </c>
    </row>
    <row r="446" spans="2:11" ht="15">
      <c r="B446" s="144" t="s">
        <v>474</v>
      </c>
      <c r="C446" s="132" t="s">
        <v>471</v>
      </c>
      <c r="D446" s="132" t="s">
        <v>475</v>
      </c>
      <c r="E446" s="132">
        <v>9</v>
      </c>
      <c r="F446" s="168">
        <f t="shared" si="40"/>
        <v>0</v>
      </c>
      <c r="G446" s="175">
        <v>0.585</v>
      </c>
      <c r="H446" s="146">
        <f t="shared" si="37"/>
        <v>0</v>
      </c>
      <c r="I446" s="146">
        <v>5</v>
      </c>
      <c r="J446" s="147">
        <f t="shared" si="38"/>
        <v>0</v>
      </c>
      <c r="K446" s="148">
        <f t="shared" si="39"/>
        <v>0</v>
      </c>
    </row>
    <row r="447" spans="2:11" ht="15">
      <c r="B447" s="144" t="s">
        <v>476</v>
      </c>
      <c r="C447" s="132" t="s">
        <v>447</v>
      </c>
      <c r="D447" s="132" t="s">
        <v>450</v>
      </c>
      <c r="E447" s="132">
        <v>9</v>
      </c>
      <c r="F447" s="168">
        <f t="shared" si="40"/>
        <v>0</v>
      </c>
      <c r="G447" s="175">
        <v>0.602</v>
      </c>
      <c r="H447" s="146">
        <f t="shared" si="37"/>
        <v>0</v>
      </c>
      <c r="I447" s="146">
        <v>11.7</v>
      </c>
      <c r="J447" s="147">
        <f t="shared" si="38"/>
        <v>0</v>
      </c>
      <c r="K447" s="148">
        <f t="shared" si="39"/>
        <v>0</v>
      </c>
    </row>
    <row r="448" spans="2:11" ht="15">
      <c r="B448" s="144" t="s">
        <v>477</v>
      </c>
      <c r="C448" s="132" t="s">
        <v>447</v>
      </c>
      <c r="D448" s="132" t="s">
        <v>473</v>
      </c>
      <c r="E448" s="132">
        <v>9</v>
      </c>
      <c r="F448" s="168">
        <f t="shared" si="40"/>
        <v>0</v>
      </c>
      <c r="G448" s="175">
        <v>0.589</v>
      </c>
      <c r="H448" s="146">
        <f t="shared" si="37"/>
        <v>0</v>
      </c>
      <c r="I448" s="146">
        <v>6.6</v>
      </c>
      <c r="J448" s="147">
        <f t="shared" si="38"/>
        <v>0</v>
      </c>
      <c r="K448" s="148">
        <f t="shared" si="39"/>
        <v>0</v>
      </c>
    </row>
    <row r="449" spans="2:11" ht="15.75" thickBot="1">
      <c r="B449" s="144" t="s">
        <v>478</v>
      </c>
      <c r="C449" s="132" t="s">
        <v>447</v>
      </c>
      <c r="D449" s="132" t="s">
        <v>475</v>
      </c>
      <c r="E449" s="132">
        <v>9</v>
      </c>
      <c r="F449" s="168">
        <f t="shared" si="40"/>
        <v>0</v>
      </c>
      <c r="G449" s="175">
        <v>0.585</v>
      </c>
      <c r="H449" s="146">
        <f t="shared" si="37"/>
        <v>0</v>
      </c>
      <c r="I449" s="146">
        <v>3.1</v>
      </c>
      <c r="J449" s="147">
        <f t="shared" si="38"/>
        <v>0</v>
      </c>
      <c r="K449" s="148">
        <f t="shared" si="39"/>
        <v>0</v>
      </c>
    </row>
    <row r="450" spans="2:11" ht="15.75" thickTop="1">
      <c r="B450" s="149"/>
      <c r="C450" s="150"/>
      <c r="D450" s="150"/>
      <c r="E450" s="150"/>
      <c r="F450" s="150"/>
      <c r="G450" s="177"/>
      <c r="H450" s="150"/>
      <c r="I450" s="151" t="s">
        <v>479</v>
      </c>
      <c r="J450" s="152">
        <f>SUM(J390:J449)</f>
        <v>0</v>
      </c>
      <c r="K450" s="143">
        <f t="shared" si="39"/>
        <v>0</v>
      </c>
    </row>
    <row r="451" spans="2:11" ht="15">
      <c r="B451" s="153"/>
      <c r="C451" s="154"/>
      <c r="D451" s="154"/>
      <c r="E451" s="154"/>
      <c r="F451" s="154"/>
      <c r="G451" s="178"/>
      <c r="H451" s="155"/>
      <c r="I451" s="156"/>
      <c r="J451" s="157"/>
      <c r="K451" s="148"/>
    </row>
    <row r="452" spans="2:11" ht="15.75" thickBot="1">
      <c r="B452" s="158"/>
      <c r="C452" s="159"/>
      <c r="D452" s="159"/>
      <c r="E452" s="159"/>
      <c r="F452" s="159"/>
      <c r="G452" s="179"/>
      <c r="H452" s="160"/>
      <c r="I452" s="161" t="s">
        <v>480</v>
      </c>
      <c r="J452" s="162">
        <f>J450*(44/12)</f>
        <v>0</v>
      </c>
      <c r="K452" s="163">
        <f>J452/2000</f>
        <v>0</v>
      </c>
    </row>
    <row r="453" ht="15.75" thickTop="1"/>
    <row r="454" spans="2:11" ht="15.75" thickBot="1">
      <c r="B454" s="217" t="s">
        <v>490</v>
      </c>
      <c r="C454" s="217"/>
      <c r="D454" s="217"/>
      <c r="E454" s="217"/>
      <c r="F454" s="217"/>
      <c r="G454" s="217"/>
      <c r="H454"/>
      <c r="I454"/>
      <c r="J454"/>
      <c r="K454"/>
    </row>
    <row r="455" spans="2:11" ht="15.75" thickBot="1">
      <c r="B455"/>
      <c r="C455"/>
      <c r="D455"/>
      <c r="E455"/>
      <c r="F455"/>
      <c r="G455"/>
      <c r="H455"/>
      <c r="I455"/>
      <c r="J455"/>
      <c r="K455"/>
    </row>
    <row r="456" spans="2:11" ht="15.75" thickTop="1">
      <c r="B456" s="127" t="s">
        <v>445</v>
      </c>
      <c r="C456" s="128"/>
      <c r="D456" s="128"/>
      <c r="E456" s="129" t="s">
        <v>446</v>
      </c>
      <c r="F456" s="129" t="s">
        <v>447</v>
      </c>
      <c r="G456" s="174" t="s">
        <v>448</v>
      </c>
      <c r="H456" s="129" t="s">
        <v>449</v>
      </c>
      <c r="I456" s="129" t="s">
        <v>450</v>
      </c>
      <c r="J456" s="128" t="s">
        <v>451</v>
      </c>
      <c r="K456" s="173"/>
    </row>
    <row r="457" spans="2:11" ht="15">
      <c r="B457" s="130" t="s">
        <v>452</v>
      </c>
      <c r="C457" s="131" t="s">
        <v>453</v>
      </c>
      <c r="D457" s="131" t="s">
        <v>454</v>
      </c>
      <c r="E457" s="132" t="s">
        <v>455</v>
      </c>
      <c r="F457" s="132" t="s">
        <v>456</v>
      </c>
      <c r="G457" s="175" t="s">
        <v>457</v>
      </c>
      <c r="H457" s="132" t="s">
        <v>458</v>
      </c>
      <c r="I457" s="132" t="s">
        <v>459</v>
      </c>
      <c r="J457" s="133" t="s">
        <v>460</v>
      </c>
      <c r="K457" s="134"/>
    </row>
    <row r="458" spans="2:11" ht="15.75" thickBot="1">
      <c r="B458" s="135"/>
      <c r="C458" s="136" t="s">
        <v>461</v>
      </c>
      <c r="D458" s="136" t="s">
        <v>462</v>
      </c>
      <c r="E458" s="136" t="s">
        <v>463</v>
      </c>
      <c r="F458" s="136" t="s">
        <v>464</v>
      </c>
      <c r="G458" s="175" t="s">
        <v>465</v>
      </c>
      <c r="H458" s="132" t="s">
        <v>466</v>
      </c>
      <c r="I458" s="132" t="s">
        <v>467</v>
      </c>
      <c r="J458" s="137" t="s">
        <v>468</v>
      </c>
      <c r="K458" s="138" t="s">
        <v>469</v>
      </c>
    </row>
    <row r="459" spans="2:11" ht="15.75" thickTop="1">
      <c r="B459" s="139" t="s">
        <v>470</v>
      </c>
      <c r="C459" s="129" t="s">
        <v>471</v>
      </c>
      <c r="D459" s="129" t="s">
        <v>450</v>
      </c>
      <c r="E459" s="129">
        <v>0</v>
      </c>
      <c r="F459" s="140">
        <f>+C26</f>
        <v>0</v>
      </c>
      <c r="G459" s="174">
        <v>0.873</v>
      </c>
      <c r="H459" s="141">
        <f aca="true" t="shared" si="41" ref="H459:H522">F459*G459</f>
        <v>0</v>
      </c>
      <c r="I459" s="129">
        <v>2.7</v>
      </c>
      <c r="J459" s="142">
        <f aca="true" t="shared" si="42" ref="J459:J522">H459*I459</f>
        <v>0</v>
      </c>
      <c r="K459" s="143">
        <f aca="true" t="shared" si="43" ref="K459:K522">J459/2000</f>
        <v>0</v>
      </c>
    </row>
    <row r="460" spans="2:11" ht="15">
      <c r="B460" s="144" t="s">
        <v>472</v>
      </c>
      <c r="C460" s="132" t="s">
        <v>471</v>
      </c>
      <c r="D460" s="132" t="s">
        <v>473</v>
      </c>
      <c r="E460" s="132">
        <v>0</v>
      </c>
      <c r="F460" s="145">
        <f>+D26</f>
        <v>0</v>
      </c>
      <c r="G460" s="175">
        <v>0.873</v>
      </c>
      <c r="H460" s="146">
        <f t="shared" si="41"/>
        <v>0</v>
      </c>
      <c r="I460" s="146">
        <v>1.9</v>
      </c>
      <c r="J460" s="147">
        <f t="shared" si="42"/>
        <v>0</v>
      </c>
      <c r="K460" s="148">
        <f t="shared" si="43"/>
        <v>0</v>
      </c>
    </row>
    <row r="461" spans="2:11" ht="15">
      <c r="B461" s="144" t="s">
        <v>474</v>
      </c>
      <c r="C461" s="132" t="s">
        <v>471</v>
      </c>
      <c r="D461" s="132" t="s">
        <v>475</v>
      </c>
      <c r="E461" s="132">
        <v>0</v>
      </c>
      <c r="F461" s="145">
        <f>+E26</f>
        <v>0</v>
      </c>
      <c r="G461" s="175">
        <v>0.873</v>
      </c>
      <c r="H461" s="146">
        <f t="shared" si="41"/>
        <v>0</v>
      </c>
      <c r="I461" s="146">
        <v>1.3</v>
      </c>
      <c r="J461" s="147">
        <f t="shared" si="42"/>
        <v>0</v>
      </c>
      <c r="K461" s="148">
        <f t="shared" si="43"/>
        <v>0</v>
      </c>
    </row>
    <row r="462" spans="2:11" ht="15">
      <c r="B462" s="144" t="s">
        <v>476</v>
      </c>
      <c r="C462" s="132" t="s">
        <v>447</v>
      </c>
      <c r="D462" s="132" t="s">
        <v>450</v>
      </c>
      <c r="E462" s="132">
        <v>0</v>
      </c>
      <c r="F462" s="145">
        <f>+F26</f>
        <v>0</v>
      </c>
      <c r="G462" s="175">
        <v>0.873</v>
      </c>
      <c r="H462" s="146">
        <f t="shared" si="41"/>
        <v>0</v>
      </c>
      <c r="I462" s="146">
        <v>1.4</v>
      </c>
      <c r="J462" s="147">
        <f t="shared" si="42"/>
        <v>0</v>
      </c>
      <c r="K462" s="148">
        <f t="shared" si="43"/>
        <v>0</v>
      </c>
    </row>
    <row r="463" spans="2:11" ht="15">
      <c r="B463" s="144" t="s">
        <v>477</v>
      </c>
      <c r="C463" s="132" t="s">
        <v>447</v>
      </c>
      <c r="D463" s="132" t="s">
        <v>473</v>
      </c>
      <c r="E463" s="132">
        <v>0</v>
      </c>
      <c r="F463" s="145">
        <f>+G26</f>
        <v>0</v>
      </c>
      <c r="G463" s="175">
        <v>0.873</v>
      </c>
      <c r="H463" s="146">
        <f t="shared" si="41"/>
        <v>0</v>
      </c>
      <c r="I463" s="146">
        <v>1</v>
      </c>
      <c r="J463" s="147">
        <f t="shared" si="42"/>
        <v>0</v>
      </c>
      <c r="K463" s="148">
        <f t="shared" si="43"/>
        <v>0</v>
      </c>
    </row>
    <row r="464" spans="2:11" ht="15">
      <c r="B464" s="144" t="s">
        <v>478</v>
      </c>
      <c r="C464" s="132" t="s">
        <v>447</v>
      </c>
      <c r="D464" s="132" t="s">
        <v>475</v>
      </c>
      <c r="E464" s="132">
        <v>0</v>
      </c>
      <c r="F464" s="145">
        <f>+H26</f>
        <v>0</v>
      </c>
      <c r="G464" s="175">
        <v>0.873</v>
      </c>
      <c r="H464" s="146">
        <f t="shared" si="41"/>
        <v>0</v>
      </c>
      <c r="I464" s="146">
        <v>0.7</v>
      </c>
      <c r="J464" s="147">
        <f t="shared" si="42"/>
        <v>0</v>
      </c>
      <c r="K464" s="148">
        <f t="shared" si="43"/>
        <v>0</v>
      </c>
    </row>
    <row r="465" spans="2:11" ht="15">
      <c r="B465" s="167" t="s">
        <v>470</v>
      </c>
      <c r="C465" s="168" t="s">
        <v>471</v>
      </c>
      <c r="D465" s="168" t="s">
        <v>450</v>
      </c>
      <c r="E465" s="168">
        <v>1</v>
      </c>
      <c r="F465" s="168">
        <f>+F390</f>
        <v>0</v>
      </c>
      <c r="G465" s="176">
        <v>0.798</v>
      </c>
      <c r="H465" s="170">
        <f t="shared" si="41"/>
        <v>0</v>
      </c>
      <c r="I465" s="168">
        <v>4</v>
      </c>
      <c r="J465" s="171">
        <f t="shared" si="42"/>
        <v>0</v>
      </c>
      <c r="K465" s="172">
        <f t="shared" si="43"/>
        <v>0</v>
      </c>
    </row>
    <row r="466" spans="2:11" ht="15">
      <c r="B466" s="144" t="s">
        <v>472</v>
      </c>
      <c r="C466" s="132" t="s">
        <v>471</v>
      </c>
      <c r="D466" s="132" t="s">
        <v>473</v>
      </c>
      <c r="E466" s="132">
        <v>1</v>
      </c>
      <c r="F466" s="168">
        <f aca="true" t="shared" si="44" ref="F466:F524">+F391</f>
        <v>0</v>
      </c>
      <c r="G466" s="175">
        <v>0.798</v>
      </c>
      <c r="H466" s="146">
        <f t="shared" si="41"/>
        <v>0</v>
      </c>
      <c r="I466" s="146">
        <v>2.7</v>
      </c>
      <c r="J466" s="147">
        <f t="shared" si="42"/>
        <v>0</v>
      </c>
      <c r="K466" s="148">
        <f t="shared" si="43"/>
        <v>0</v>
      </c>
    </row>
    <row r="467" spans="2:11" ht="15">
      <c r="B467" s="144" t="s">
        <v>474</v>
      </c>
      <c r="C467" s="132" t="s">
        <v>471</v>
      </c>
      <c r="D467" s="132" t="s">
        <v>475</v>
      </c>
      <c r="E467" s="132">
        <v>1</v>
      </c>
      <c r="F467" s="168">
        <f t="shared" si="44"/>
        <v>0</v>
      </c>
      <c r="G467" s="175">
        <v>0.798</v>
      </c>
      <c r="H467" s="146">
        <f t="shared" si="41"/>
        <v>0</v>
      </c>
      <c r="I467" s="146">
        <v>1.6</v>
      </c>
      <c r="J467" s="147">
        <f t="shared" si="42"/>
        <v>0</v>
      </c>
      <c r="K467" s="148">
        <f t="shared" si="43"/>
        <v>0</v>
      </c>
    </row>
    <row r="468" spans="2:11" ht="15">
      <c r="B468" s="144" t="s">
        <v>476</v>
      </c>
      <c r="C468" s="132" t="s">
        <v>447</v>
      </c>
      <c r="D468" s="132" t="s">
        <v>450</v>
      </c>
      <c r="E468" s="132">
        <v>1</v>
      </c>
      <c r="F468" s="168">
        <f t="shared" si="44"/>
        <v>0</v>
      </c>
      <c r="G468" s="175">
        <v>0.798</v>
      </c>
      <c r="H468" s="146">
        <f t="shared" si="41"/>
        <v>0</v>
      </c>
      <c r="I468" s="146">
        <v>2.2</v>
      </c>
      <c r="J468" s="147">
        <f t="shared" si="42"/>
        <v>0</v>
      </c>
      <c r="K468" s="148">
        <f t="shared" si="43"/>
        <v>0</v>
      </c>
    </row>
    <row r="469" spans="2:11" ht="15">
      <c r="B469" s="144" t="s">
        <v>477</v>
      </c>
      <c r="C469" s="132" t="s">
        <v>447</v>
      </c>
      <c r="D469" s="132" t="s">
        <v>473</v>
      </c>
      <c r="E469" s="132">
        <v>1</v>
      </c>
      <c r="F469" s="168">
        <f t="shared" si="44"/>
        <v>0</v>
      </c>
      <c r="G469" s="175">
        <v>0.798</v>
      </c>
      <c r="H469" s="146">
        <f t="shared" si="41"/>
        <v>0</v>
      </c>
      <c r="I469" s="146">
        <v>1.5</v>
      </c>
      <c r="J469" s="147">
        <f t="shared" si="42"/>
        <v>0</v>
      </c>
      <c r="K469" s="148">
        <f t="shared" si="43"/>
        <v>0</v>
      </c>
    </row>
    <row r="470" spans="2:11" ht="15">
      <c r="B470" s="144" t="s">
        <v>478</v>
      </c>
      <c r="C470" s="132" t="s">
        <v>447</v>
      </c>
      <c r="D470" s="132" t="s">
        <v>475</v>
      </c>
      <c r="E470" s="132">
        <v>1</v>
      </c>
      <c r="F470" s="168">
        <f t="shared" si="44"/>
        <v>0</v>
      </c>
      <c r="G470" s="175">
        <v>0.798</v>
      </c>
      <c r="H470" s="146">
        <f t="shared" si="41"/>
        <v>0</v>
      </c>
      <c r="I470" s="146">
        <v>0.9</v>
      </c>
      <c r="J470" s="147">
        <f t="shared" si="42"/>
        <v>0</v>
      </c>
      <c r="K470" s="148">
        <f t="shared" si="43"/>
        <v>0</v>
      </c>
    </row>
    <row r="471" spans="2:11" ht="15">
      <c r="B471" s="167" t="s">
        <v>470</v>
      </c>
      <c r="C471" s="168" t="s">
        <v>471</v>
      </c>
      <c r="D471" s="168" t="s">
        <v>450</v>
      </c>
      <c r="E471" s="168">
        <v>2</v>
      </c>
      <c r="F471" s="168">
        <f t="shared" si="44"/>
        <v>0</v>
      </c>
      <c r="G471" s="176">
        <v>0.736</v>
      </c>
      <c r="H471" s="170">
        <f t="shared" si="41"/>
        <v>0</v>
      </c>
      <c r="I471" s="168">
        <v>5.4</v>
      </c>
      <c r="J471" s="171">
        <f t="shared" si="42"/>
        <v>0</v>
      </c>
      <c r="K471" s="172">
        <f t="shared" si="43"/>
        <v>0</v>
      </c>
    </row>
    <row r="472" spans="2:11" ht="15">
      <c r="B472" s="144" t="s">
        <v>472</v>
      </c>
      <c r="C472" s="132" t="s">
        <v>471</v>
      </c>
      <c r="D472" s="132" t="s">
        <v>473</v>
      </c>
      <c r="E472" s="132">
        <v>2</v>
      </c>
      <c r="F472" s="168">
        <f t="shared" si="44"/>
        <v>0</v>
      </c>
      <c r="G472" s="175">
        <v>0.736</v>
      </c>
      <c r="H472" s="146">
        <f t="shared" si="41"/>
        <v>0</v>
      </c>
      <c r="I472" s="146">
        <v>3.5</v>
      </c>
      <c r="J472" s="147">
        <f t="shared" si="42"/>
        <v>0</v>
      </c>
      <c r="K472" s="148">
        <f t="shared" si="43"/>
        <v>0</v>
      </c>
    </row>
    <row r="473" spans="2:11" ht="15">
      <c r="B473" s="144" t="s">
        <v>474</v>
      </c>
      <c r="C473" s="132" t="s">
        <v>471</v>
      </c>
      <c r="D473" s="132" t="s">
        <v>475</v>
      </c>
      <c r="E473" s="132">
        <v>2</v>
      </c>
      <c r="F473" s="168">
        <f t="shared" si="44"/>
        <v>0</v>
      </c>
      <c r="G473" s="175">
        <v>0.736</v>
      </c>
      <c r="H473" s="146">
        <f t="shared" si="41"/>
        <v>0</v>
      </c>
      <c r="I473" s="146">
        <v>2</v>
      </c>
      <c r="J473" s="147">
        <f t="shared" si="42"/>
        <v>0</v>
      </c>
      <c r="K473" s="148">
        <f t="shared" si="43"/>
        <v>0</v>
      </c>
    </row>
    <row r="474" spans="2:11" ht="15">
      <c r="B474" s="144" t="s">
        <v>476</v>
      </c>
      <c r="C474" s="132" t="s">
        <v>447</v>
      </c>
      <c r="D474" s="132" t="s">
        <v>450</v>
      </c>
      <c r="E474" s="132">
        <v>2</v>
      </c>
      <c r="F474" s="168">
        <f t="shared" si="44"/>
        <v>0</v>
      </c>
      <c r="G474" s="175">
        <v>0.736</v>
      </c>
      <c r="H474" s="146">
        <f t="shared" si="41"/>
        <v>0</v>
      </c>
      <c r="I474" s="146">
        <v>3.1</v>
      </c>
      <c r="J474" s="147">
        <f t="shared" si="42"/>
        <v>0</v>
      </c>
      <c r="K474" s="148">
        <f t="shared" si="43"/>
        <v>0</v>
      </c>
    </row>
    <row r="475" spans="2:11" ht="15">
      <c r="B475" s="144" t="s">
        <v>477</v>
      </c>
      <c r="C475" s="132" t="s">
        <v>447</v>
      </c>
      <c r="D475" s="132" t="s">
        <v>473</v>
      </c>
      <c r="E475" s="132">
        <v>2</v>
      </c>
      <c r="F475" s="168">
        <f t="shared" si="44"/>
        <v>0</v>
      </c>
      <c r="G475" s="175">
        <v>0.736</v>
      </c>
      <c r="H475" s="146">
        <f t="shared" si="41"/>
        <v>0</v>
      </c>
      <c r="I475" s="146">
        <v>2</v>
      </c>
      <c r="J475" s="147">
        <f t="shared" si="42"/>
        <v>0</v>
      </c>
      <c r="K475" s="148">
        <f t="shared" si="43"/>
        <v>0</v>
      </c>
    </row>
    <row r="476" spans="2:11" ht="15">
      <c r="B476" s="144" t="s">
        <v>478</v>
      </c>
      <c r="C476" s="132" t="s">
        <v>447</v>
      </c>
      <c r="D476" s="132" t="s">
        <v>475</v>
      </c>
      <c r="E476" s="132">
        <v>2</v>
      </c>
      <c r="F476" s="168">
        <f t="shared" si="44"/>
        <v>0</v>
      </c>
      <c r="G476" s="175">
        <v>0.736</v>
      </c>
      <c r="H476" s="146">
        <f t="shared" si="41"/>
        <v>0</v>
      </c>
      <c r="I476" s="146">
        <v>1.1</v>
      </c>
      <c r="J476" s="147">
        <f t="shared" si="42"/>
        <v>0</v>
      </c>
      <c r="K476" s="148">
        <f t="shared" si="43"/>
        <v>0</v>
      </c>
    </row>
    <row r="477" spans="2:11" ht="15">
      <c r="B477" s="167" t="s">
        <v>470</v>
      </c>
      <c r="C477" s="168" t="s">
        <v>471</v>
      </c>
      <c r="D477" s="168" t="s">
        <v>450</v>
      </c>
      <c r="E477" s="168">
        <v>3</v>
      </c>
      <c r="F477" s="168">
        <f t="shared" si="44"/>
        <v>0</v>
      </c>
      <c r="G477" s="176">
        <v>0.706</v>
      </c>
      <c r="H477" s="170">
        <f t="shared" si="41"/>
        <v>0</v>
      </c>
      <c r="I477" s="168">
        <v>6.9</v>
      </c>
      <c r="J477" s="171">
        <f t="shared" si="42"/>
        <v>0</v>
      </c>
      <c r="K477" s="172">
        <f t="shared" si="43"/>
        <v>0</v>
      </c>
    </row>
    <row r="478" spans="2:11" ht="15">
      <c r="B478" s="144" t="s">
        <v>472</v>
      </c>
      <c r="C478" s="132" t="s">
        <v>471</v>
      </c>
      <c r="D478" s="132" t="s">
        <v>473</v>
      </c>
      <c r="E478" s="132">
        <v>3</v>
      </c>
      <c r="F478" s="168">
        <f t="shared" si="44"/>
        <v>0</v>
      </c>
      <c r="G478" s="175">
        <v>0.706</v>
      </c>
      <c r="H478" s="146">
        <f t="shared" si="41"/>
        <v>0</v>
      </c>
      <c r="I478" s="146">
        <v>4.3</v>
      </c>
      <c r="J478" s="147">
        <f t="shared" si="42"/>
        <v>0</v>
      </c>
      <c r="K478" s="148">
        <f t="shared" si="43"/>
        <v>0</v>
      </c>
    </row>
    <row r="479" spans="2:11" ht="15">
      <c r="B479" s="144" t="s">
        <v>474</v>
      </c>
      <c r="C479" s="132" t="s">
        <v>471</v>
      </c>
      <c r="D479" s="132" t="s">
        <v>475</v>
      </c>
      <c r="E479" s="132">
        <v>3</v>
      </c>
      <c r="F479" s="168">
        <f t="shared" si="44"/>
        <v>0</v>
      </c>
      <c r="G479" s="175">
        <v>0.706</v>
      </c>
      <c r="H479" s="146">
        <f t="shared" si="41"/>
        <v>0</v>
      </c>
      <c r="I479" s="146">
        <v>2.4</v>
      </c>
      <c r="J479" s="147">
        <f t="shared" si="42"/>
        <v>0</v>
      </c>
      <c r="K479" s="148">
        <f t="shared" si="43"/>
        <v>0</v>
      </c>
    </row>
    <row r="480" spans="2:11" ht="15">
      <c r="B480" s="144" t="s">
        <v>476</v>
      </c>
      <c r="C480" s="132" t="s">
        <v>447</v>
      </c>
      <c r="D480" s="132" t="s">
        <v>450</v>
      </c>
      <c r="E480" s="132">
        <v>3</v>
      </c>
      <c r="F480" s="168">
        <f t="shared" si="44"/>
        <v>0</v>
      </c>
      <c r="G480" s="175">
        <v>0.706</v>
      </c>
      <c r="H480" s="146">
        <f t="shared" si="41"/>
        <v>0</v>
      </c>
      <c r="I480" s="146">
        <v>4.1</v>
      </c>
      <c r="J480" s="147">
        <f t="shared" si="42"/>
        <v>0</v>
      </c>
      <c r="K480" s="148">
        <f t="shared" si="43"/>
        <v>0</v>
      </c>
    </row>
    <row r="481" spans="2:11" ht="15">
      <c r="B481" s="144" t="s">
        <v>477</v>
      </c>
      <c r="C481" s="132" t="s">
        <v>447</v>
      </c>
      <c r="D481" s="132" t="s">
        <v>473</v>
      </c>
      <c r="E481" s="132">
        <v>3</v>
      </c>
      <c r="F481" s="168">
        <f t="shared" si="44"/>
        <v>0</v>
      </c>
      <c r="G481" s="175">
        <v>0.706</v>
      </c>
      <c r="H481" s="146">
        <f t="shared" si="41"/>
        <v>0</v>
      </c>
      <c r="I481" s="146">
        <v>2.5</v>
      </c>
      <c r="J481" s="147">
        <f t="shared" si="42"/>
        <v>0</v>
      </c>
      <c r="K481" s="148">
        <f t="shared" si="43"/>
        <v>0</v>
      </c>
    </row>
    <row r="482" spans="2:11" ht="15">
      <c r="B482" s="144" t="s">
        <v>478</v>
      </c>
      <c r="C482" s="132" t="s">
        <v>447</v>
      </c>
      <c r="D482" s="132" t="s">
        <v>475</v>
      </c>
      <c r="E482" s="132">
        <v>3</v>
      </c>
      <c r="F482" s="168">
        <f t="shared" si="44"/>
        <v>0</v>
      </c>
      <c r="G482" s="175">
        <v>0.706</v>
      </c>
      <c r="H482" s="146">
        <f t="shared" si="41"/>
        <v>0</v>
      </c>
      <c r="I482" s="146">
        <v>1.4</v>
      </c>
      <c r="J482" s="147">
        <f t="shared" si="42"/>
        <v>0</v>
      </c>
      <c r="K482" s="148">
        <f t="shared" si="43"/>
        <v>0</v>
      </c>
    </row>
    <row r="483" spans="2:11" ht="15">
      <c r="B483" s="167" t="s">
        <v>470</v>
      </c>
      <c r="C483" s="168" t="s">
        <v>471</v>
      </c>
      <c r="D483" s="168" t="s">
        <v>450</v>
      </c>
      <c r="E483" s="168">
        <v>4</v>
      </c>
      <c r="F483" s="168">
        <f t="shared" si="44"/>
        <v>0</v>
      </c>
      <c r="G483" s="176">
        <v>0.678</v>
      </c>
      <c r="H483" s="170">
        <f t="shared" si="41"/>
        <v>0</v>
      </c>
      <c r="I483" s="168">
        <v>8.5</v>
      </c>
      <c r="J483" s="171">
        <f t="shared" si="42"/>
        <v>0</v>
      </c>
      <c r="K483" s="172">
        <f t="shared" si="43"/>
        <v>0</v>
      </c>
    </row>
    <row r="484" spans="2:11" ht="15">
      <c r="B484" s="144" t="s">
        <v>472</v>
      </c>
      <c r="C484" s="132" t="s">
        <v>471</v>
      </c>
      <c r="D484" s="132" t="s">
        <v>473</v>
      </c>
      <c r="E484" s="132">
        <v>4</v>
      </c>
      <c r="F484" s="168">
        <f t="shared" si="44"/>
        <v>0</v>
      </c>
      <c r="G484" s="175">
        <v>0.678</v>
      </c>
      <c r="H484" s="146">
        <f t="shared" si="41"/>
        <v>0</v>
      </c>
      <c r="I484" s="146">
        <v>5.2</v>
      </c>
      <c r="J484" s="147">
        <f t="shared" si="42"/>
        <v>0</v>
      </c>
      <c r="K484" s="148">
        <f t="shared" si="43"/>
        <v>0</v>
      </c>
    </row>
    <row r="485" spans="2:11" ht="15">
      <c r="B485" s="144" t="s">
        <v>474</v>
      </c>
      <c r="C485" s="132" t="s">
        <v>471</v>
      </c>
      <c r="D485" s="132" t="s">
        <v>475</v>
      </c>
      <c r="E485" s="132">
        <v>4</v>
      </c>
      <c r="F485" s="168">
        <f t="shared" si="44"/>
        <v>0</v>
      </c>
      <c r="G485" s="175">
        <v>0.678</v>
      </c>
      <c r="H485" s="146">
        <f t="shared" si="41"/>
        <v>0</v>
      </c>
      <c r="I485" s="146">
        <v>2.8</v>
      </c>
      <c r="J485" s="147">
        <f t="shared" si="42"/>
        <v>0</v>
      </c>
      <c r="K485" s="148">
        <f t="shared" si="43"/>
        <v>0</v>
      </c>
    </row>
    <row r="486" spans="2:11" ht="15">
      <c r="B486" s="144" t="s">
        <v>476</v>
      </c>
      <c r="C486" s="132" t="s">
        <v>447</v>
      </c>
      <c r="D486" s="132" t="s">
        <v>450</v>
      </c>
      <c r="E486" s="132">
        <v>4</v>
      </c>
      <c r="F486" s="168">
        <f t="shared" si="44"/>
        <v>0</v>
      </c>
      <c r="G486" s="175">
        <v>0.678</v>
      </c>
      <c r="H486" s="146">
        <f t="shared" si="41"/>
        <v>0</v>
      </c>
      <c r="I486" s="146">
        <v>5.2</v>
      </c>
      <c r="J486" s="147">
        <f t="shared" si="42"/>
        <v>0</v>
      </c>
      <c r="K486" s="148">
        <f t="shared" si="43"/>
        <v>0</v>
      </c>
    </row>
    <row r="487" spans="2:11" ht="15">
      <c r="B487" s="144" t="s">
        <v>477</v>
      </c>
      <c r="C487" s="132" t="s">
        <v>447</v>
      </c>
      <c r="D487" s="132" t="s">
        <v>473</v>
      </c>
      <c r="E487" s="132">
        <v>4</v>
      </c>
      <c r="F487" s="168">
        <f t="shared" si="44"/>
        <v>0</v>
      </c>
      <c r="G487" s="175">
        <v>0.678</v>
      </c>
      <c r="H487" s="146">
        <f t="shared" si="41"/>
        <v>0</v>
      </c>
      <c r="I487" s="146">
        <v>3.1</v>
      </c>
      <c r="J487" s="147">
        <f t="shared" si="42"/>
        <v>0</v>
      </c>
      <c r="K487" s="148">
        <f t="shared" si="43"/>
        <v>0</v>
      </c>
    </row>
    <row r="488" spans="2:11" ht="15">
      <c r="B488" s="144" t="s">
        <v>478</v>
      </c>
      <c r="C488" s="132" t="s">
        <v>447</v>
      </c>
      <c r="D488" s="132" t="s">
        <v>475</v>
      </c>
      <c r="E488" s="132">
        <v>4</v>
      </c>
      <c r="F488" s="168">
        <f t="shared" si="44"/>
        <v>0</v>
      </c>
      <c r="G488" s="175">
        <v>0.678</v>
      </c>
      <c r="H488" s="146">
        <f t="shared" si="41"/>
        <v>0</v>
      </c>
      <c r="I488" s="146">
        <v>1.6</v>
      </c>
      <c r="J488" s="147">
        <f t="shared" si="42"/>
        <v>0</v>
      </c>
      <c r="K488" s="148">
        <f t="shared" si="43"/>
        <v>0</v>
      </c>
    </row>
    <row r="489" spans="2:11" ht="15">
      <c r="B489" s="167" t="s">
        <v>470</v>
      </c>
      <c r="C489" s="168" t="s">
        <v>471</v>
      </c>
      <c r="D489" s="168" t="s">
        <v>450</v>
      </c>
      <c r="E489" s="168">
        <v>5</v>
      </c>
      <c r="F489" s="168">
        <f t="shared" si="44"/>
        <v>0</v>
      </c>
      <c r="G489" s="176">
        <v>0.658</v>
      </c>
      <c r="H489" s="170">
        <f t="shared" si="41"/>
        <v>0</v>
      </c>
      <c r="I489" s="168">
        <v>10.1</v>
      </c>
      <c r="J489" s="171">
        <f t="shared" si="42"/>
        <v>0</v>
      </c>
      <c r="K489" s="172">
        <f t="shared" si="43"/>
        <v>0</v>
      </c>
    </row>
    <row r="490" spans="2:11" ht="15">
      <c r="B490" s="144" t="s">
        <v>472</v>
      </c>
      <c r="C490" s="132" t="s">
        <v>471</v>
      </c>
      <c r="D490" s="132" t="s">
        <v>473</v>
      </c>
      <c r="E490" s="132">
        <v>5</v>
      </c>
      <c r="F490" s="168">
        <f t="shared" si="44"/>
        <v>0</v>
      </c>
      <c r="G490" s="175">
        <v>0.658</v>
      </c>
      <c r="H490" s="146">
        <f t="shared" si="41"/>
        <v>0</v>
      </c>
      <c r="I490" s="146">
        <v>6.1</v>
      </c>
      <c r="J490" s="147">
        <f t="shared" si="42"/>
        <v>0</v>
      </c>
      <c r="K490" s="148">
        <f t="shared" si="43"/>
        <v>0</v>
      </c>
    </row>
    <row r="491" spans="2:11" ht="15">
      <c r="B491" s="144" t="s">
        <v>474</v>
      </c>
      <c r="C491" s="132" t="s">
        <v>471</v>
      </c>
      <c r="D491" s="132" t="s">
        <v>475</v>
      </c>
      <c r="E491" s="132">
        <v>5</v>
      </c>
      <c r="F491" s="168">
        <f t="shared" si="44"/>
        <v>0</v>
      </c>
      <c r="G491" s="175">
        <v>0.658</v>
      </c>
      <c r="H491" s="146">
        <f t="shared" si="41"/>
        <v>0</v>
      </c>
      <c r="I491" s="146">
        <v>3.2</v>
      </c>
      <c r="J491" s="147">
        <f t="shared" si="42"/>
        <v>0</v>
      </c>
      <c r="K491" s="148">
        <f t="shared" si="43"/>
        <v>0</v>
      </c>
    </row>
    <row r="492" spans="2:11" ht="15">
      <c r="B492" s="144" t="s">
        <v>476</v>
      </c>
      <c r="C492" s="132" t="s">
        <v>447</v>
      </c>
      <c r="D492" s="132" t="s">
        <v>450</v>
      </c>
      <c r="E492" s="132">
        <v>5</v>
      </c>
      <c r="F492" s="168">
        <f t="shared" si="44"/>
        <v>0</v>
      </c>
      <c r="G492" s="175">
        <v>0.658</v>
      </c>
      <c r="H492" s="146">
        <f t="shared" si="41"/>
        <v>0</v>
      </c>
      <c r="I492" s="146">
        <v>6.4</v>
      </c>
      <c r="J492" s="147">
        <f t="shared" si="42"/>
        <v>0</v>
      </c>
      <c r="K492" s="148">
        <f t="shared" si="43"/>
        <v>0</v>
      </c>
    </row>
    <row r="493" spans="2:11" ht="15">
      <c r="B493" s="144" t="s">
        <v>477</v>
      </c>
      <c r="C493" s="132" t="s">
        <v>447</v>
      </c>
      <c r="D493" s="132" t="s">
        <v>473</v>
      </c>
      <c r="E493" s="132">
        <v>5</v>
      </c>
      <c r="F493" s="168">
        <f t="shared" si="44"/>
        <v>0</v>
      </c>
      <c r="G493" s="175">
        <v>0.658</v>
      </c>
      <c r="H493" s="146">
        <f t="shared" si="41"/>
        <v>0</v>
      </c>
      <c r="I493" s="146">
        <v>3.7</v>
      </c>
      <c r="J493" s="147">
        <f t="shared" si="42"/>
        <v>0</v>
      </c>
      <c r="K493" s="148">
        <f t="shared" si="43"/>
        <v>0</v>
      </c>
    </row>
    <row r="494" spans="2:11" ht="15">
      <c r="B494" s="144" t="s">
        <v>478</v>
      </c>
      <c r="C494" s="132" t="s">
        <v>447</v>
      </c>
      <c r="D494" s="132" t="s">
        <v>475</v>
      </c>
      <c r="E494" s="132">
        <v>5</v>
      </c>
      <c r="F494" s="168">
        <f t="shared" si="44"/>
        <v>0</v>
      </c>
      <c r="G494" s="175">
        <v>0.658</v>
      </c>
      <c r="H494" s="146">
        <f t="shared" si="41"/>
        <v>0</v>
      </c>
      <c r="I494" s="146">
        <v>1.9</v>
      </c>
      <c r="J494" s="147">
        <f t="shared" si="42"/>
        <v>0</v>
      </c>
      <c r="K494" s="148">
        <f t="shared" si="43"/>
        <v>0</v>
      </c>
    </row>
    <row r="495" spans="2:11" ht="15">
      <c r="B495" s="167" t="s">
        <v>470</v>
      </c>
      <c r="C495" s="168" t="s">
        <v>471</v>
      </c>
      <c r="D495" s="168" t="s">
        <v>450</v>
      </c>
      <c r="E495" s="168">
        <v>6</v>
      </c>
      <c r="F495" s="168">
        <f t="shared" si="44"/>
        <v>0</v>
      </c>
      <c r="G495" s="176">
        <v>0.644</v>
      </c>
      <c r="H495" s="170">
        <f t="shared" si="41"/>
        <v>0</v>
      </c>
      <c r="I495" s="168">
        <v>11.8</v>
      </c>
      <c r="J495" s="171">
        <f t="shared" si="42"/>
        <v>0</v>
      </c>
      <c r="K495" s="172">
        <f t="shared" si="43"/>
        <v>0</v>
      </c>
    </row>
    <row r="496" spans="2:11" ht="15">
      <c r="B496" s="144" t="s">
        <v>472</v>
      </c>
      <c r="C496" s="132" t="s">
        <v>471</v>
      </c>
      <c r="D496" s="132" t="s">
        <v>473</v>
      </c>
      <c r="E496" s="132">
        <v>6</v>
      </c>
      <c r="F496" s="168">
        <f t="shared" si="44"/>
        <v>0</v>
      </c>
      <c r="G496" s="175">
        <v>0.639</v>
      </c>
      <c r="H496" s="146">
        <f t="shared" si="41"/>
        <v>0</v>
      </c>
      <c r="I496" s="146">
        <v>7.1</v>
      </c>
      <c r="J496" s="147">
        <f t="shared" si="42"/>
        <v>0</v>
      </c>
      <c r="K496" s="148">
        <f t="shared" si="43"/>
        <v>0</v>
      </c>
    </row>
    <row r="497" spans="2:11" ht="15">
      <c r="B497" s="144" t="s">
        <v>474</v>
      </c>
      <c r="C497" s="132" t="s">
        <v>471</v>
      </c>
      <c r="D497" s="132" t="s">
        <v>475</v>
      </c>
      <c r="E497" s="132">
        <v>6</v>
      </c>
      <c r="F497" s="168">
        <f t="shared" si="44"/>
        <v>0</v>
      </c>
      <c r="G497" s="175">
        <v>0.639</v>
      </c>
      <c r="H497" s="146">
        <f t="shared" si="41"/>
        <v>0</v>
      </c>
      <c r="I497" s="146">
        <v>3.7</v>
      </c>
      <c r="J497" s="147">
        <f t="shared" si="42"/>
        <v>0</v>
      </c>
      <c r="K497" s="148">
        <f t="shared" si="43"/>
        <v>0</v>
      </c>
    </row>
    <row r="498" spans="2:11" ht="15">
      <c r="B498" s="144" t="s">
        <v>476</v>
      </c>
      <c r="C498" s="132" t="s">
        <v>447</v>
      </c>
      <c r="D498" s="132" t="s">
        <v>450</v>
      </c>
      <c r="E498" s="132">
        <v>6</v>
      </c>
      <c r="F498" s="168">
        <f t="shared" si="44"/>
        <v>0</v>
      </c>
      <c r="G498" s="175">
        <v>0.644</v>
      </c>
      <c r="H498" s="146">
        <f t="shared" si="41"/>
        <v>0</v>
      </c>
      <c r="I498" s="146">
        <v>7.6</v>
      </c>
      <c r="J498" s="147">
        <f t="shared" si="42"/>
        <v>0</v>
      </c>
      <c r="K498" s="148">
        <f t="shared" si="43"/>
        <v>0</v>
      </c>
    </row>
    <row r="499" spans="2:11" ht="15">
      <c r="B499" s="144" t="s">
        <v>477</v>
      </c>
      <c r="C499" s="132" t="s">
        <v>447</v>
      </c>
      <c r="D499" s="132" t="s">
        <v>473</v>
      </c>
      <c r="E499" s="132">
        <v>6</v>
      </c>
      <c r="F499" s="168">
        <f t="shared" si="44"/>
        <v>0</v>
      </c>
      <c r="G499" s="175">
        <v>0.639</v>
      </c>
      <c r="H499" s="146">
        <f t="shared" si="41"/>
        <v>0</v>
      </c>
      <c r="I499" s="146">
        <v>4.4</v>
      </c>
      <c r="J499" s="147">
        <f t="shared" si="42"/>
        <v>0</v>
      </c>
      <c r="K499" s="148">
        <f t="shared" si="43"/>
        <v>0</v>
      </c>
    </row>
    <row r="500" spans="2:11" ht="15">
      <c r="B500" s="144" t="s">
        <v>478</v>
      </c>
      <c r="C500" s="132" t="s">
        <v>447</v>
      </c>
      <c r="D500" s="132" t="s">
        <v>475</v>
      </c>
      <c r="E500" s="132">
        <v>6</v>
      </c>
      <c r="F500" s="168">
        <f t="shared" si="44"/>
        <v>0</v>
      </c>
      <c r="G500" s="175">
        <v>0.639</v>
      </c>
      <c r="H500" s="146">
        <f t="shared" si="41"/>
        <v>0</v>
      </c>
      <c r="I500" s="146">
        <v>2.2</v>
      </c>
      <c r="J500" s="147">
        <f t="shared" si="42"/>
        <v>0</v>
      </c>
      <c r="K500" s="148">
        <f t="shared" si="43"/>
        <v>0</v>
      </c>
    </row>
    <row r="501" spans="2:11" ht="15">
      <c r="B501" s="167" t="s">
        <v>470</v>
      </c>
      <c r="C501" s="168" t="s">
        <v>471</v>
      </c>
      <c r="D501" s="168" t="s">
        <v>450</v>
      </c>
      <c r="E501" s="168">
        <v>7</v>
      </c>
      <c r="F501" s="168">
        <f t="shared" si="44"/>
        <v>0</v>
      </c>
      <c r="G501" s="176">
        <v>0.63</v>
      </c>
      <c r="H501" s="170">
        <f t="shared" si="41"/>
        <v>0</v>
      </c>
      <c r="I501" s="168">
        <v>13.6</v>
      </c>
      <c r="J501" s="171">
        <f t="shared" si="42"/>
        <v>0</v>
      </c>
      <c r="K501" s="172">
        <f t="shared" si="43"/>
        <v>0</v>
      </c>
    </row>
    <row r="502" spans="2:11" ht="15">
      <c r="B502" s="144" t="s">
        <v>472</v>
      </c>
      <c r="C502" s="132" t="s">
        <v>471</v>
      </c>
      <c r="D502" s="132" t="s">
        <v>473</v>
      </c>
      <c r="E502" s="132">
        <v>7</v>
      </c>
      <c r="F502" s="168">
        <f t="shared" si="44"/>
        <v>0</v>
      </c>
      <c r="G502" s="175">
        <v>0.621</v>
      </c>
      <c r="H502" s="146">
        <f t="shared" si="41"/>
        <v>0</v>
      </c>
      <c r="I502" s="146">
        <v>8.1</v>
      </c>
      <c r="J502" s="147">
        <f t="shared" si="42"/>
        <v>0</v>
      </c>
      <c r="K502" s="148">
        <f t="shared" si="43"/>
        <v>0</v>
      </c>
    </row>
    <row r="503" spans="2:11" ht="15">
      <c r="B503" s="144" t="s">
        <v>474</v>
      </c>
      <c r="C503" s="132" t="s">
        <v>471</v>
      </c>
      <c r="D503" s="132" t="s">
        <v>475</v>
      </c>
      <c r="E503" s="132">
        <v>7</v>
      </c>
      <c r="F503" s="168">
        <f t="shared" si="44"/>
        <v>0</v>
      </c>
      <c r="G503" s="175">
        <v>0.621</v>
      </c>
      <c r="H503" s="146">
        <f t="shared" si="41"/>
        <v>0</v>
      </c>
      <c r="I503" s="146">
        <v>4.1</v>
      </c>
      <c r="J503" s="147">
        <f t="shared" si="42"/>
        <v>0</v>
      </c>
      <c r="K503" s="148">
        <f t="shared" si="43"/>
        <v>0</v>
      </c>
    </row>
    <row r="504" spans="2:11" ht="15">
      <c r="B504" s="144" t="s">
        <v>476</v>
      </c>
      <c r="C504" s="132" t="s">
        <v>447</v>
      </c>
      <c r="D504" s="132" t="s">
        <v>450</v>
      </c>
      <c r="E504" s="132">
        <v>7</v>
      </c>
      <c r="F504" s="168">
        <f t="shared" si="44"/>
        <v>0</v>
      </c>
      <c r="G504" s="175">
        <v>0.63</v>
      </c>
      <c r="H504" s="146">
        <f t="shared" si="41"/>
        <v>0</v>
      </c>
      <c r="I504" s="146">
        <v>8.9</v>
      </c>
      <c r="J504" s="147">
        <f t="shared" si="42"/>
        <v>0</v>
      </c>
      <c r="K504" s="148">
        <f t="shared" si="43"/>
        <v>0</v>
      </c>
    </row>
    <row r="505" spans="2:11" ht="15">
      <c r="B505" s="144" t="s">
        <v>477</v>
      </c>
      <c r="C505" s="132" t="s">
        <v>447</v>
      </c>
      <c r="D505" s="132" t="s">
        <v>473</v>
      </c>
      <c r="E505" s="132">
        <v>7</v>
      </c>
      <c r="F505" s="168">
        <f t="shared" si="44"/>
        <v>0</v>
      </c>
      <c r="G505" s="175">
        <v>0.621</v>
      </c>
      <c r="H505" s="146">
        <f t="shared" si="41"/>
        <v>0</v>
      </c>
      <c r="I505" s="146">
        <v>5.1</v>
      </c>
      <c r="J505" s="147">
        <f t="shared" si="42"/>
        <v>0</v>
      </c>
      <c r="K505" s="148">
        <f t="shared" si="43"/>
        <v>0</v>
      </c>
    </row>
    <row r="506" spans="2:11" ht="15">
      <c r="B506" s="144" t="s">
        <v>478</v>
      </c>
      <c r="C506" s="132" t="s">
        <v>447</v>
      </c>
      <c r="D506" s="132" t="s">
        <v>475</v>
      </c>
      <c r="E506" s="132">
        <v>7</v>
      </c>
      <c r="F506" s="168">
        <f t="shared" si="44"/>
        <v>0</v>
      </c>
      <c r="G506" s="175">
        <v>0.621</v>
      </c>
      <c r="H506" s="146">
        <f t="shared" si="41"/>
        <v>0</v>
      </c>
      <c r="I506" s="146">
        <v>2.5</v>
      </c>
      <c r="J506" s="147">
        <f t="shared" si="42"/>
        <v>0</v>
      </c>
      <c r="K506" s="148">
        <f t="shared" si="43"/>
        <v>0</v>
      </c>
    </row>
    <row r="507" spans="2:11" ht="15">
      <c r="B507" s="167" t="s">
        <v>470</v>
      </c>
      <c r="C507" s="168" t="s">
        <v>471</v>
      </c>
      <c r="D507" s="168" t="s">
        <v>450</v>
      </c>
      <c r="E507" s="168">
        <v>8</v>
      </c>
      <c r="F507" s="168">
        <f t="shared" si="44"/>
        <v>0</v>
      </c>
      <c r="G507" s="176">
        <v>0.616</v>
      </c>
      <c r="H507" s="170">
        <f t="shared" si="41"/>
        <v>0</v>
      </c>
      <c r="I507" s="168">
        <v>15.5</v>
      </c>
      <c r="J507" s="171">
        <f t="shared" si="42"/>
        <v>0</v>
      </c>
      <c r="K507" s="172">
        <f t="shared" si="43"/>
        <v>0</v>
      </c>
    </row>
    <row r="508" spans="2:11" ht="15">
      <c r="B508" s="144" t="s">
        <v>472</v>
      </c>
      <c r="C508" s="132" t="s">
        <v>471</v>
      </c>
      <c r="D508" s="132" t="s">
        <v>473</v>
      </c>
      <c r="E508" s="132">
        <v>8</v>
      </c>
      <c r="F508" s="168">
        <f t="shared" si="44"/>
        <v>0</v>
      </c>
      <c r="G508" s="175">
        <v>0.603</v>
      </c>
      <c r="H508" s="146">
        <f t="shared" si="41"/>
        <v>0</v>
      </c>
      <c r="I508" s="146">
        <v>9.1</v>
      </c>
      <c r="J508" s="147">
        <f t="shared" si="42"/>
        <v>0</v>
      </c>
      <c r="K508" s="148">
        <f t="shared" si="43"/>
        <v>0</v>
      </c>
    </row>
    <row r="509" spans="2:11" ht="15">
      <c r="B509" s="144" t="s">
        <v>474</v>
      </c>
      <c r="C509" s="132" t="s">
        <v>471</v>
      </c>
      <c r="D509" s="132" t="s">
        <v>475</v>
      </c>
      <c r="E509" s="132">
        <v>8</v>
      </c>
      <c r="F509" s="168">
        <f t="shared" si="44"/>
        <v>0</v>
      </c>
      <c r="G509" s="175">
        <v>0.603</v>
      </c>
      <c r="H509" s="146">
        <f t="shared" si="41"/>
        <v>0</v>
      </c>
      <c r="I509" s="146">
        <v>4.6</v>
      </c>
      <c r="J509" s="147">
        <f t="shared" si="42"/>
        <v>0</v>
      </c>
      <c r="K509" s="148">
        <f t="shared" si="43"/>
        <v>0</v>
      </c>
    </row>
    <row r="510" spans="2:11" ht="15">
      <c r="B510" s="144" t="s">
        <v>476</v>
      </c>
      <c r="C510" s="132" t="s">
        <v>447</v>
      </c>
      <c r="D510" s="132" t="s">
        <v>450</v>
      </c>
      <c r="E510" s="132">
        <v>8</v>
      </c>
      <c r="F510" s="168">
        <f t="shared" si="44"/>
        <v>0</v>
      </c>
      <c r="G510" s="175">
        <v>0.616</v>
      </c>
      <c r="H510" s="146">
        <f t="shared" si="41"/>
        <v>0</v>
      </c>
      <c r="I510" s="146">
        <v>10.2</v>
      </c>
      <c r="J510" s="147">
        <f t="shared" si="42"/>
        <v>0</v>
      </c>
      <c r="K510" s="148">
        <f t="shared" si="43"/>
        <v>0</v>
      </c>
    </row>
    <row r="511" spans="2:11" ht="15">
      <c r="B511" s="144" t="s">
        <v>477</v>
      </c>
      <c r="C511" s="132" t="s">
        <v>447</v>
      </c>
      <c r="D511" s="132" t="s">
        <v>473</v>
      </c>
      <c r="E511" s="132">
        <v>8</v>
      </c>
      <c r="F511" s="168">
        <f t="shared" si="44"/>
        <v>0</v>
      </c>
      <c r="G511" s="175">
        <v>0.603</v>
      </c>
      <c r="H511" s="146">
        <f t="shared" si="41"/>
        <v>0</v>
      </c>
      <c r="I511" s="146">
        <v>5.8</v>
      </c>
      <c r="J511" s="147">
        <f t="shared" si="42"/>
        <v>0</v>
      </c>
      <c r="K511" s="148">
        <f t="shared" si="43"/>
        <v>0</v>
      </c>
    </row>
    <row r="512" spans="2:11" ht="15">
      <c r="B512" s="144" t="s">
        <v>478</v>
      </c>
      <c r="C512" s="132" t="s">
        <v>447</v>
      </c>
      <c r="D512" s="132" t="s">
        <v>475</v>
      </c>
      <c r="E512" s="132">
        <v>8</v>
      </c>
      <c r="F512" s="168">
        <f t="shared" si="44"/>
        <v>0</v>
      </c>
      <c r="G512" s="175">
        <v>0.603</v>
      </c>
      <c r="H512" s="146">
        <f t="shared" si="41"/>
        <v>0</v>
      </c>
      <c r="I512" s="146">
        <v>2.8</v>
      </c>
      <c r="J512" s="147">
        <f t="shared" si="42"/>
        <v>0</v>
      </c>
      <c r="K512" s="148">
        <f t="shared" si="43"/>
        <v>0</v>
      </c>
    </row>
    <row r="513" spans="2:11" ht="15">
      <c r="B513" s="167" t="s">
        <v>470</v>
      </c>
      <c r="C513" s="168" t="s">
        <v>471</v>
      </c>
      <c r="D513" s="168" t="s">
        <v>450</v>
      </c>
      <c r="E513" s="168">
        <v>9</v>
      </c>
      <c r="F513" s="168">
        <f t="shared" si="44"/>
        <v>0</v>
      </c>
      <c r="G513" s="176">
        <v>0.602</v>
      </c>
      <c r="H513" s="170">
        <f t="shared" si="41"/>
        <v>0</v>
      </c>
      <c r="I513" s="168">
        <v>17.4</v>
      </c>
      <c r="J513" s="171">
        <f t="shared" si="42"/>
        <v>0</v>
      </c>
      <c r="K513" s="172">
        <f t="shared" si="43"/>
        <v>0</v>
      </c>
    </row>
    <row r="514" spans="2:11" ht="15">
      <c r="B514" s="144" t="s">
        <v>472</v>
      </c>
      <c r="C514" s="132" t="s">
        <v>471</v>
      </c>
      <c r="D514" s="132" t="s">
        <v>473</v>
      </c>
      <c r="E514" s="132">
        <v>9</v>
      </c>
      <c r="F514" s="168">
        <f t="shared" si="44"/>
        <v>0</v>
      </c>
      <c r="G514" s="175">
        <v>0.589</v>
      </c>
      <c r="H514" s="146">
        <f t="shared" si="41"/>
        <v>0</v>
      </c>
      <c r="I514" s="146">
        <v>10.2</v>
      </c>
      <c r="J514" s="147">
        <f t="shared" si="42"/>
        <v>0</v>
      </c>
      <c r="K514" s="148">
        <f t="shared" si="43"/>
        <v>0</v>
      </c>
    </row>
    <row r="515" spans="2:11" ht="15">
      <c r="B515" s="144" t="s">
        <v>474</v>
      </c>
      <c r="C515" s="132" t="s">
        <v>471</v>
      </c>
      <c r="D515" s="132" t="s">
        <v>475</v>
      </c>
      <c r="E515" s="132">
        <v>9</v>
      </c>
      <c r="F515" s="168">
        <f t="shared" si="44"/>
        <v>0</v>
      </c>
      <c r="G515" s="175">
        <v>0.585</v>
      </c>
      <c r="H515" s="146">
        <f t="shared" si="41"/>
        <v>0</v>
      </c>
      <c r="I515" s="146">
        <v>5</v>
      </c>
      <c r="J515" s="147">
        <f t="shared" si="42"/>
        <v>0</v>
      </c>
      <c r="K515" s="148">
        <f t="shared" si="43"/>
        <v>0</v>
      </c>
    </row>
    <row r="516" spans="2:11" ht="15">
      <c r="B516" s="144" t="s">
        <v>476</v>
      </c>
      <c r="C516" s="132" t="s">
        <v>447</v>
      </c>
      <c r="D516" s="132" t="s">
        <v>450</v>
      </c>
      <c r="E516" s="132">
        <v>9</v>
      </c>
      <c r="F516" s="168">
        <f t="shared" si="44"/>
        <v>0</v>
      </c>
      <c r="G516" s="175">
        <v>0.602</v>
      </c>
      <c r="H516" s="146">
        <f t="shared" si="41"/>
        <v>0</v>
      </c>
      <c r="I516" s="146">
        <v>11.7</v>
      </c>
      <c r="J516" s="147">
        <f t="shared" si="42"/>
        <v>0</v>
      </c>
      <c r="K516" s="148">
        <f t="shared" si="43"/>
        <v>0</v>
      </c>
    </row>
    <row r="517" spans="2:11" ht="15">
      <c r="B517" s="144" t="s">
        <v>477</v>
      </c>
      <c r="C517" s="132" t="s">
        <v>447</v>
      </c>
      <c r="D517" s="132" t="s">
        <v>473</v>
      </c>
      <c r="E517" s="132">
        <v>9</v>
      </c>
      <c r="F517" s="168">
        <f t="shared" si="44"/>
        <v>0</v>
      </c>
      <c r="G517" s="175">
        <v>0.589</v>
      </c>
      <c r="H517" s="146">
        <f t="shared" si="41"/>
        <v>0</v>
      </c>
      <c r="I517" s="146">
        <v>6.6</v>
      </c>
      <c r="J517" s="147">
        <f t="shared" si="42"/>
        <v>0</v>
      </c>
      <c r="K517" s="148">
        <f t="shared" si="43"/>
        <v>0</v>
      </c>
    </row>
    <row r="518" spans="2:11" ht="15">
      <c r="B518" s="144" t="s">
        <v>478</v>
      </c>
      <c r="C518" s="132" t="s">
        <v>447</v>
      </c>
      <c r="D518" s="132" t="s">
        <v>475</v>
      </c>
      <c r="E518" s="132">
        <v>9</v>
      </c>
      <c r="F518" s="168">
        <f t="shared" si="44"/>
        <v>0</v>
      </c>
      <c r="G518" s="175">
        <v>0.585</v>
      </c>
      <c r="H518" s="146">
        <f t="shared" si="41"/>
        <v>0</v>
      </c>
      <c r="I518" s="146">
        <v>3.1</v>
      </c>
      <c r="J518" s="147">
        <f t="shared" si="42"/>
        <v>0</v>
      </c>
      <c r="K518" s="148">
        <f t="shared" si="43"/>
        <v>0</v>
      </c>
    </row>
    <row r="519" spans="2:11" ht="15">
      <c r="B519" s="167" t="s">
        <v>470</v>
      </c>
      <c r="C519" s="168" t="s">
        <v>471</v>
      </c>
      <c r="D519" s="168" t="s">
        <v>450</v>
      </c>
      <c r="E519" s="168">
        <v>10</v>
      </c>
      <c r="F519" s="168">
        <f t="shared" si="44"/>
        <v>0</v>
      </c>
      <c r="G519" s="176">
        <v>0.589</v>
      </c>
      <c r="H519" s="170">
        <f t="shared" si="41"/>
        <v>0</v>
      </c>
      <c r="I519" s="168">
        <v>19.3</v>
      </c>
      <c r="J519" s="171">
        <f t="shared" si="42"/>
        <v>0</v>
      </c>
      <c r="K519" s="172">
        <f t="shared" si="43"/>
        <v>0</v>
      </c>
    </row>
    <row r="520" spans="2:11" ht="15">
      <c r="B520" s="144" t="s">
        <v>472</v>
      </c>
      <c r="C520" s="132" t="s">
        <v>471</v>
      </c>
      <c r="D520" s="132" t="s">
        <v>473</v>
      </c>
      <c r="E520" s="132">
        <v>10</v>
      </c>
      <c r="F520" s="168">
        <f t="shared" si="44"/>
        <v>0</v>
      </c>
      <c r="G520" s="175">
        <v>0.576</v>
      </c>
      <c r="H520" s="146">
        <f t="shared" si="41"/>
        <v>0</v>
      </c>
      <c r="I520" s="146">
        <v>11.2</v>
      </c>
      <c r="J520" s="147">
        <f t="shared" si="42"/>
        <v>0</v>
      </c>
      <c r="K520" s="148">
        <f t="shared" si="43"/>
        <v>0</v>
      </c>
    </row>
    <row r="521" spans="2:11" ht="15">
      <c r="B521" s="144" t="s">
        <v>474</v>
      </c>
      <c r="C521" s="132" t="s">
        <v>471</v>
      </c>
      <c r="D521" s="132" t="s">
        <v>475</v>
      </c>
      <c r="E521" s="132">
        <v>10</v>
      </c>
      <c r="F521" s="168">
        <f t="shared" si="44"/>
        <v>0</v>
      </c>
      <c r="G521" s="175">
        <v>0.568</v>
      </c>
      <c r="H521" s="146">
        <f t="shared" si="41"/>
        <v>0</v>
      </c>
      <c r="I521" s="146">
        <v>5.5</v>
      </c>
      <c r="J521" s="147">
        <f t="shared" si="42"/>
        <v>0</v>
      </c>
      <c r="K521" s="148">
        <f t="shared" si="43"/>
        <v>0</v>
      </c>
    </row>
    <row r="522" spans="2:11" ht="15">
      <c r="B522" s="144" t="s">
        <v>476</v>
      </c>
      <c r="C522" s="132" t="s">
        <v>447</v>
      </c>
      <c r="D522" s="132" t="s">
        <v>450</v>
      </c>
      <c r="E522" s="132">
        <v>10</v>
      </c>
      <c r="F522" s="168">
        <f t="shared" si="44"/>
        <v>0</v>
      </c>
      <c r="G522" s="175">
        <v>0.589</v>
      </c>
      <c r="H522" s="146">
        <f t="shared" si="41"/>
        <v>0</v>
      </c>
      <c r="I522" s="146">
        <v>13.2</v>
      </c>
      <c r="J522" s="147">
        <f t="shared" si="42"/>
        <v>0</v>
      </c>
      <c r="K522" s="148">
        <f t="shared" si="43"/>
        <v>0</v>
      </c>
    </row>
    <row r="523" spans="2:11" ht="15">
      <c r="B523" s="144" t="s">
        <v>477</v>
      </c>
      <c r="C523" s="132" t="s">
        <v>447</v>
      </c>
      <c r="D523" s="132" t="s">
        <v>473</v>
      </c>
      <c r="E523" s="132">
        <v>10</v>
      </c>
      <c r="F523" s="168">
        <f t="shared" si="44"/>
        <v>0</v>
      </c>
      <c r="G523" s="175">
        <v>0.576</v>
      </c>
      <c r="H523" s="146">
        <f>F523*G523</f>
        <v>0</v>
      </c>
      <c r="I523" s="146">
        <v>7.4</v>
      </c>
      <c r="J523" s="147">
        <f>H523*I523</f>
        <v>0</v>
      </c>
      <c r="K523" s="148">
        <f>J523/2000</f>
        <v>0</v>
      </c>
    </row>
    <row r="524" spans="2:11" ht="15.75" thickBot="1">
      <c r="B524" s="144" t="s">
        <v>478</v>
      </c>
      <c r="C524" s="132" t="s">
        <v>447</v>
      </c>
      <c r="D524" s="132" t="s">
        <v>475</v>
      </c>
      <c r="E524" s="132">
        <v>10</v>
      </c>
      <c r="F524" s="168">
        <f t="shared" si="44"/>
        <v>0</v>
      </c>
      <c r="G524" s="175">
        <v>0.568</v>
      </c>
      <c r="H524" s="146">
        <f>F524*G524</f>
        <v>0</v>
      </c>
      <c r="I524" s="146">
        <v>3.5</v>
      </c>
      <c r="J524" s="147">
        <f>H524*I524</f>
        <v>0</v>
      </c>
      <c r="K524" s="148">
        <f>J524/2000</f>
        <v>0</v>
      </c>
    </row>
    <row r="525" spans="2:11" ht="15.75" thickTop="1">
      <c r="B525" s="149"/>
      <c r="C525" s="150"/>
      <c r="D525" s="150"/>
      <c r="E525" s="150"/>
      <c r="F525" s="150"/>
      <c r="G525" s="177"/>
      <c r="H525" s="150"/>
      <c r="I525" s="151" t="s">
        <v>479</v>
      </c>
      <c r="J525" s="152">
        <f>SUM(J459:J524)</f>
        <v>0</v>
      </c>
      <c r="K525" s="143">
        <f>J525/2000</f>
        <v>0</v>
      </c>
    </row>
    <row r="526" spans="2:11" ht="15">
      <c r="B526" s="153"/>
      <c r="C526" s="154"/>
      <c r="D526" s="154"/>
      <c r="E526" s="154"/>
      <c r="F526" s="154"/>
      <c r="G526" s="178"/>
      <c r="H526" s="155"/>
      <c r="I526" s="156"/>
      <c r="J526" s="157"/>
      <c r="K526" s="148"/>
    </row>
    <row r="527" spans="2:11" ht="15.75" thickBot="1">
      <c r="B527" s="158"/>
      <c r="C527" s="159"/>
      <c r="D527" s="159"/>
      <c r="E527" s="159"/>
      <c r="F527" s="159"/>
      <c r="G527" s="179"/>
      <c r="H527" s="160"/>
      <c r="I527" s="161" t="s">
        <v>480</v>
      </c>
      <c r="J527" s="162">
        <f>J525*(44/12)</f>
        <v>0</v>
      </c>
      <c r="K527" s="163">
        <f>J527/2000</f>
        <v>0</v>
      </c>
    </row>
    <row r="528" ht="15.75" thickTop="1"/>
    <row r="529" spans="2:11" ht="15.75" thickBot="1">
      <c r="B529" s="217" t="s">
        <v>491</v>
      </c>
      <c r="C529" s="217"/>
      <c r="D529" s="217"/>
      <c r="E529" s="217"/>
      <c r="F529" s="217"/>
      <c r="G529" s="217"/>
      <c r="H529"/>
      <c r="I529"/>
      <c r="J529"/>
      <c r="K529"/>
    </row>
    <row r="530" spans="2:11" ht="15.75" thickBot="1">
      <c r="B530"/>
      <c r="C530"/>
      <c r="D530"/>
      <c r="E530"/>
      <c r="F530"/>
      <c r="G530"/>
      <c r="H530"/>
      <c r="I530"/>
      <c r="J530"/>
      <c r="K530"/>
    </row>
    <row r="531" spans="2:11" ht="15.75" thickTop="1">
      <c r="B531" s="127" t="s">
        <v>445</v>
      </c>
      <c r="C531" s="128"/>
      <c r="D531" s="128"/>
      <c r="E531" s="129" t="s">
        <v>446</v>
      </c>
      <c r="F531" s="129" t="s">
        <v>447</v>
      </c>
      <c r="G531" s="174" t="s">
        <v>448</v>
      </c>
      <c r="H531" s="129" t="s">
        <v>449</v>
      </c>
      <c r="I531" s="129" t="s">
        <v>450</v>
      </c>
      <c r="J531" s="128" t="s">
        <v>451</v>
      </c>
      <c r="K531" s="173"/>
    </row>
    <row r="532" spans="2:11" ht="15">
      <c r="B532" s="130" t="s">
        <v>452</v>
      </c>
      <c r="C532" s="131" t="s">
        <v>453</v>
      </c>
      <c r="D532" s="131" t="s">
        <v>454</v>
      </c>
      <c r="E532" s="132" t="s">
        <v>455</v>
      </c>
      <c r="F532" s="132" t="s">
        <v>456</v>
      </c>
      <c r="G532" s="175" t="s">
        <v>457</v>
      </c>
      <c r="H532" s="132" t="s">
        <v>458</v>
      </c>
      <c r="I532" s="132" t="s">
        <v>459</v>
      </c>
      <c r="J532" s="133" t="s">
        <v>460</v>
      </c>
      <c r="K532" s="134"/>
    </row>
    <row r="533" spans="2:11" ht="15.75" thickBot="1">
      <c r="B533" s="180"/>
      <c r="C533" s="181" t="s">
        <v>461</v>
      </c>
      <c r="D533" s="181" t="s">
        <v>462</v>
      </c>
      <c r="E533" s="181" t="s">
        <v>463</v>
      </c>
      <c r="F533" s="181" t="s">
        <v>464</v>
      </c>
      <c r="G533" s="182" t="s">
        <v>465</v>
      </c>
      <c r="H533" s="183" t="s">
        <v>466</v>
      </c>
      <c r="I533" s="183" t="s">
        <v>467</v>
      </c>
      <c r="J533" s="137" t="s">
        <v>468</v>
      </c>
      <c r="K533" s="138" t="s">
        <v>469</v>
      </c>
    </row>
    <row r="534" spans="2:11" ht="15.75" thickTop="1">
      <c r="B534" s="167" t="s">
        <v>470</v>
      </c>
      <c r="C534" s="168" t="s">
        <v>471</v>
      </c>
      <c r="D534" s="168" t="s">
        <v>450</v>
      </c>
      <c r="E534" s="168">
        <v>0</v>
      </c>
      <c r="F534" s="184">
        <f>+C27</f>
        <v>0</v>
      </c>
      <c r="G534" s="176">
        <v>0.873</v>
      </c>
      <c r="H534" s="170">
        <f aca="true" t="shared" si="45" ref="H534:H597">F534*G534</f>
        <v>0</v>
      </c>
      <c r="I534" s="168">
        <v>2.7</v>
      </c>
      <c r="J534" s="171">
        <f aca="true" t="shared" si="46" ref="J534:J597">H534*I534</f>
        <v>0</v>
      </c>
      <c r="K534" s="172">
        <f aca="true" t="shared" si="47" ref="K534:K597">J534/2000</f>
        <v>0</v>
      </c>
    </row>
    <row r="535" spans="2:11" ht="15">
      <c r="B535" s="144" t="s">
        <v>472</v>
      </c>
      <c r="C535" s="132" t="s">
        <v>471</v>
      </c>
      <c r="D535" s="132" t="s">
        <v>473</v>
      </c>
      <c r="E535" s="132">
        <v>0</v>
      </c>
      <c r="F535" s="145">
        <f>+D27</f>
        <v>0</v>
      </c>
      <c r="G535" s="175">
        <v>0.873</v>
      </c>
      <c r="H535" s="146">
        <f t="shared" si="45"/>
        <v>0</v>
      </c>
      <c r="I535" s="146">
        <v>1.9</v>
      </c>
      <c r="J535" s="147">
        <f t="shared" si="46"/>
        <v>0</v>
      </c>
      <c r="K535" s="148">
        <f t="shared" si="47"/>
        <v>0</v>
      </c>
    </row>
    <row r="536" spans="2:11" ht="15">
      <c r="B536" s="144" t="s">
        <v>474</v>
      </c>
      <c r="C536" s="132" t="s">
        <v>471</v>
      </c>
      <c r="D536" s="132" t="s">
        <v>475</v>
      </c>
      <c r="E536" s="132">
        <v>0</v>
      </c>
      <c r="F536" s="145">
        <f>+E27</f>
        <v>0</v>
      </c>
      <c r="G536" s="175">
        <v>0.873</v>
      </c>
      <c r="H536" s="146">
        <f t="shared" si="45"/>
        <v>0</v>
      </c>
      <c r="I536" s="146">
        <v>1.3</v>
      </c>
      <c r="J536" s="147">
        <f t="shared" si="46"/>
        <v>0</v>
      </c>
      <c r="K536" s="148">
        <f t="shared" si="47"/>
        <v>0</v>
      </c>
    </row>
    <row r="537" spans="2:11" ht="15">
      <c r="B537" s="144" t="s">
        <v>476</v>
      </c>
      <c r="C537" s="132" t="s">
        <v>447</v>
      </c>
      <c r="D537" s="132" t="s">
        <v>450</v>
      </c>
      <c r="E537" s="132">
        <v>0</v>
      </c>
      <c r="F537" s="145">
        <f>+F27</f>
        <v>0</v>
      </c>
      <c r="G537" s="175">
        <v>0.873</v>
      </c>
      <c r="H537" s="146">
        <f t="shared" si="45"/>
        <v>0</v>
      </c>
      <c r="I537" s="146">
        <v>1.4</v>
      </c>
      <c r="J537" s="147">
        <f t="shared" si="46"/>
        <v>0</v>
      </c>
      <c r="K537" s="148">
        <f t="shared" si="47"/>
        <v>0</v>
      </c>
    </row>
    <row r="538" spans="2:11" ht="15">
      <c r="B538" s="144" t="s">
        <v>477</v>
      </c>
      <c r="C538" s="132" t="s">
        <v>447</v>
      </c>
      <c r="D538" s="132" t="s">
        <v>473</v>
      </c>
      <c r="E538" s="132">
        <v>0</v>
      </c>
      <c r="F538" s="145">
        <f>+G27</f>
        <v>0</v>
      </c>
      <c r="G538" s="175">
        <v>0.873</v>
      </c>
      <c r="H538" s="146">
        <f t="shared" si="45"/>
        <v>0</v>
      </c>
      <c r="I538" s="146">
        <v>1</v>
      </c>
      <c r="J538" s="147">
        <f t="shared" si="46"/>
        <v>0</v>
      </c>
      <c r="K538" s="148">
        <f t="shared" si="47"/>
        <v>0</v>
      </c>
    </row>
    <row r="539" spans="2:11" ht="15">
      <c r="B539" s="144" t="s">
        <v>478</v>
      </c>
      <c r="C539" s="132" t="s">
        <v>447</v>
      </c>
      <c r="D539" s="132" t="s">
        <v>475</v>
      </c>
      <c r="E539" s="132">
        <v>0</v>
      </c>
      <c r="F539" s="145">
        <f>+H27</f>
        <v>0</v>
      </c>
      <c r="G539" s="175">
        <v>0.873</v>
      </c>
      <c r="H539" s="146">
        <f t="shared" si="45"/>
        <v>0</v>
      </c>
      <c r="I539" s="146">
        <v>0.7</v>
      </c>
      <c r="J539" s="147">
        <f t="shared" si="46"/>
        <v>0</v>
      </c>
      <c r="K539" s="148">
        <f t="shared" si="47"/>
        <v>0</v>
      </c>
    </row>
    <row r="540" spans="2:11" ht="15">
      <c r="B540" s="167" t="s">
        <v>470</v>
      </c>
      <c r="C540" s="168" t="s">
        <v>471</v>
      </c>
      <c r="D540" s="168" t="s">
        <v>450</v>
      </c>
      <c r="E540" s="168">
        <v>1</v>
      </c>
      <c r="F540" s="169">
        <f>+F459</f>
        <v>0</v>
      </c>
      <c r="G540" s="176">
        <v>0.798</v>
      </c>
      <c r="H540" s="170">
        <f t="shared" si="45"/>
        <v>0</v>
      </c>
      <c r="I540" s="168">
        <v>4</v>
      </c>
      <c r="J540" s="171">
        <f t="shared" si="46"/>
        <v>0</v>
      </c>
      <c r="K540" s="172">
        <f t="shared" si="47"/>
        <v>0</v>
      </c>
    </row>
    <row r="541" spans="2:11" ht="15">
      <c r="B541" s="144" t="s">
        <v>472</v>
      </c>
      <c r="C541" s="132" t="s">
        <v>471</v>
      </c>
      <c r="D541" s="132" t="s">
        <v>473</v>
      </c>
      <c r="E541" s="132">
        <v>1</v>
      </c>
      <c r="F541" s="169">
        <f aca="true" t="shared" si="48" ref="F541:F604">+F460</f>
        <v>0</v>
      </c>
      <c r="G541" s="175">
        <v>0.798</v>
      </c>
      <c r="H541" s="146">
        <f t="shared" si="45"/>
        <v>0</v>
      </c>
      <c r="I541" s="146">
        <v>2.7</v>
      </c>
      <c r="J541" s="147">
        <f t="shared" si="46"/>
        <v>0</v>
      </c>
      <c r="K541" s="148">
        <f t="shared" si="47"/>
        <v>0</v>
      </c>
    </row>
    <row r="542" spans="2:11" ht="15">
      <c r="B542" s="144" t="s">
        <v>474</v>
      </c>
      <c r="C542" s="132" t="s">
        <v>471</v>
      </c>
      <c r="D542" s="132" t="s">
        <v>475</v>
      </c>
      <c r="E542" s="132">
        <v>1</v>
      </c>
      <c r="F542" s="169">
        <f t="shared" si="48"/>
        <v>0</v>
      </c>
      <c r="G542" s="175">
        <v>0.798</v>
      </c>
      <c r="H542" s="146">
        <f t="shared" si="45"/>
        <v>0</v>
      </c>
      <c r="I542" s="146">
        <v>1.6</v>
      </c>
      <c r="J542" s="147">
        <f t="shared" si="46"/>
        <v>0</v>
      </c>
      <c r="K542" s="148">
        <f t="shared" si="47"/>
        <v>0</v>
      </c>
    </row>
    <row r="543" spans="2:11" ht="15">
      <c r="B543" s="144" t="s">
        <v>476</v>
      </c>
      <c r="C543" s="132" t="s">
        <v>447</v>
      </c>
      <c r="D543" s="132" t="s">
        <v>450</v>
      </c>
      <c r="E543" s="132">
        <v>1</v>
      </c>
      <c r="F543" s="169">
        <f t="shared" si="48"/>
        <v>0</v>
      </c>
      <c r="G543" s="175">
        <v>0.798</v>
      </c>
      <c r="H543" s="146">
        <f t="shared" si="45"/>
        <v>0</v>
      </c>
      <c r="I543" s="146">
        <v>2.2</v>
      </c>
      <c r="J543" s="147">
        <f t="shared" si="46"/>
        <v>0</v>
      </c>
      <c r="K543" s="148">
        <f t="shared" si="47"/>
        <v>0</v>
      </c>
    </row>
    <row r="544" spans="2:11" ht="15">
      <c r="B544" s="144" t="s">
        <v>477</v>
      </c>
      <c r="C544" s="132" t="s">
        <v>447</v>
      </c>
      <c r="D544" s="132" t="s">
        <v>473</v>
      </c>
      <c r="E544" s="132">
        <v>1</v>
      </c>
      <c r="F544" s="169">
        <f t="shared" si="48"/>
        <v>0</v>
      </c>
      <c r="G544" s="175">
        <v>0.798</v>
      </c>
      <c r="H544" s="146">
        <f t="shared" si="45"/>
        <v>0</v>
      </c>
      <c r="I544" s="146">
        <v>1.5</v>
      </c>
      <c r="J544" s="147">
        <f t="shared" si="46"/>
        <v>0</v>
      </c>
      <c r="K544" s="148">
        <f t="shared" si="47"/>
        <v>0</v>
      </c>
    </row>
    <row r="545" spans="2:11" ht="15">
      <c r="B545" s="144" t="s">
        <v>478</v>
      </c>
      <c r="C545" s="132" t="s">
        <v>447</v>
      </c>
      <c r="D545" s="132" t="s">
        <v>475</v>
      </c>
      <c r="E545" s="132">
        <v>1</v>
      </c>
      <c r="F545" s="169">
        <f t="shared" si="48"/>
        <v>0</v>
      </c>
      <c r="G545" s="175">
        <v>0.798</v>
      </c>
      <c r="H545" s="146">
        <f t="shared" si="45"/>
        <v>0</v>
      </c>
      <c r="I545" s="146">
        <v>0.9</v>
      </c>
      <c r="J545" s="147">
        <f t="shared" si="46"/>
        <v>0</v>
      </c>
      <c r="K545" s="148">
        <f t="shared" si="47"/>
        <v>0</v>
      </c>
    </row>
    <row r="546" spans="2:11" ht="15">
      <c r="B546" s="167" t="s">
        <v>470</v>
      </c>
      <c r="C546" s="168" t="s">
        <v>471</v>
      </c>
      <c r="D546" s="168" t="s">
        <v>450</v>
      </c>
      <c r="E546" s="168">
        <v>2</v>
      </c>
      <c r="F546" s="169">
        <f t="shared" si="48"/>
        <v>0</v>
      </c>
      <c r="G546" s="176">
        <v>0.736</v>
      </c>
      <c r="H546" s="170">
        <f t="shared" si="45"/>
        <v>0</v>
      </c>
      <c r="I546" s="168">
        <v>5.4</v>
      </c>
      <c r="J546" s="171">
        <f t="shared" si="46"/>
        <v>0</v>
      </c>
      <c r="K546" s="172">
        <f t="shared" si="47"/>
        <v>0</v>
      </c>
    </row>
    <row r="547" spans="2:11" ht="15">
      <c r="B547" s="144" t="s">
        <v>472</v>
      </c>
      <c r="C547" s="132" t="s">
        <v>471</v>
      </c>
      <c r="D547" s="132" t="s">
        <v>473</v>
      </c>
      <c r="E547" s="132">
        <v>2</v>
      </c>
      <c r="F547" s="169">
        <f t="shared" si="48"/>
        <v>0</v>
      </c>
      <c r="G547" s="175">
        <v>0.736</v>
      </c>
      <c r="H547" s="146">
        <f t="shared" si="45"/>
        <v>0</v>
      </c>
      <c r="I547" s="146">
        <v>3.5</v>
      </c>
      <c r="J547" s="147">
        <f t="shared" si="46"/>
        <v>0</v>
      </c>
      <c r="K547" s="148">
        <f t="shared" si="47"/>
        <v>0</v>
      </c>
    </row>
    <row r="548" spans="2:11" ht="15">
      <c r="B548" s="144" t="s">
        <v>474</v>
      </c>
      <c r="C548" s="132" t="s">
        <v>471</v>
      </c>
      <c r="D548" s="132" t="s">
        <v>475</v>
      </c>
      <c r="E548" s="132">
        <v>2</v>
      </c>
      <c r="F548" s="169">
        <f t="shared" si="48"/>
        <v>0</v>
      </c>
      <c r="G548" s="175">
        <v>0.736</v>
      </c>
      <c r="H548" s="146">
        <f t="shared" si="45"/>
        <v>0</v>
      </c>
      <c r="I548" s="146">
        <v>2</v>
      </c>
      <c r="J548" s="147">
        <f t="shared" si="46"/>
        <v>0</v>
      </c>
      <c r="K548" s="148">
        <f t="shared" si="47"/>
        <v>0</v>
      </c>
    </row>
    <row r="549" spans="2:11" ht="15">
      <c r="B549" s="144" t="s">
        <v>476</v>
      </c>
      <c r="C549" s="132" t="s">
        <v>447</v>
      </c>
      <c r="D549" s="132" t="s">
        <v>450</v>
      </c>
      <c r="E549" s="132">
        <v>2</v>
      </c>
      <c r="F549" s="169">
        <f t="shared" si="48"/>
        <v>0</v>
      </c>
      <c r="G549" s="175">
        <v>0.736</v>
      </c>
      <c r="H549" s="146">
        <f t="shared" si="45"/>
        <v>0</v>
      </c>
      <c r="I549" s="146">
        <v>3.1</v>
      </c>
      <c r="J549" s="147">
        <f t="shared" si="46"/>
        <v>0</v>
      </c>
      <c r="K549" s="148">
        <f t="shared" si="47"/>
        <v>0</v>
      </c>
    </row>
    <row r="550" spans="2:11" ht="15">
      <c r="B550" s="144" t="s">
        <v>477</v>
      </c>
      <c r="C550" s="132" t="s">
        <v>447</v>
      </c>
      <c r="D550" s="132" t="s">
        <v>473</v>
      </c>
      <c r="E550" s="132">
        <v>2</v>
      </c>
      <c r="F550" s="169">
        <f t="shared" si="48"/>
        <v>0</v>
      </c>
      <c r="G550" s="175">
        <v>0.736</v>
      </c>
      <c r="H550" s="146">
        <f t="shared" si="45"/>
        <v>0</v>
      </c>
      <c r="I550" s="146">
        <v>2</v>
      </c>
      <c r="J550" s="147">
        <f t="shared" si="46"/>
        <v>0</v>
      </c>
      <c r="K550" s="148">
        <f t="shared" si="47"/>
        <v>0</v>
      </c>
    </row>
    <row r="551" spans="2:11" ht="15">
      <c r="B551" s="144" t="s">
        <v>478</v>
      </c>
      <c r="C551" s="132" t="s">
        <v>447</v>
      </c>
      <c r="D551" s="132" t="s">
        <v>475</v>
      </c>
      <c r="E551" s="132">
        <v>2</v>
      </c>
      <c r="F551" s="169">
        <f t="shared" si="48"/>
        <v>0</v>
      </c>
      <c r="G551" s="175">
        <v>0.736</v>
      </c>
      <c r="H551" s="146">
        <f t="shared" si="45"/>
        <v>0</v>
      </c>
      <c r="I551" s="146">
        <v>1.1</v>
      </c>
      <c r="J551" s="147">
        <f t="shared" si="46"/>
        <v>0</v>
      </c>
      <c r="K551" s="148">
        <f t="shared" si="47"/>
        <v>0</v>
      </c>
    </row>
    <row r="552" spans="2:11" ht="15">
      <c r="B552" s="167" t="s">
        <v>470</v>
      </c>
      <c r="C552" s="168" t="s">
        <v>471</v>
      </c>
      <c r="D552" s="168" t="s">
        <v>450</v>
      </c>
      <c r="E552" s="168">
        <v>3</v>
      </c>
      <c r="F552" s="169">
        <f t="shared" si="48"/>
        <v>0</v>
      </c>
      <c r="G552" s="176">
        <v>0.706</v>
      </c>
      <c r="H552" s="170">
        <f t="shared" si="45"/>
        <v>0</v>
      </c>
      <c r="I552" s="168">
        <v>6.9</v>
      </c>
      <c r="J552" s="171">
        <f t="shared" si="46"/>
        <v>0</v>
      </c>
      <c r="K552" s="172">
        <f t="shared" si="47"/>
        <v>0</v>
      </c>
    </row>
    <row r="553" spans="2:11" ht="15">
      <c r="B553" s="144" t="s">
        <v>472</v>
      </c>
      <c r="C553" s="132" t="s">
        <v>471</v>
      </c>
      <c r="D553" s="132" t="s">
        <v>473</v>
      </c>
      <c r="E553" s="132">
        <v>3</v>
      </c>
      <c r="F553" s="169">
        <f t="shared" si="48"/>
        <v>0</v>
      </c>
      <c r="G553" s="175">
        <v>0.706</v>
      </c>
      <c r="H553" s="146">
        <f t="shared" si="45"/>
        <v>0</v>
      </c>
      <c r="I553" s="146">
        <v>4.3</v>
      </c>
      <c r="J553" s="147">
        <f t="shared" si="46"/>
        <v>0</v>
      </c>
      <c r="K553" s="148">
        <f t="shared" si="47"/>
        <v>0</v>
      </c>
    </row>
    <row r="554" spans="2:11" ht="15">
      <c r="B554" s="144" t="s">
        <v>474</v>
      </c>
      <c r="C554" s="132" t="s">
        <v>471</v>
      </c>
      <c r="D554" s="132" t="s">
        <v>475</v>
      </c>
      <c r="E554" s="132">
        <v>3</v>
      </c>
      <c r="F554" s="169">
        <f t="shared" si="48"/>
        <v>0</v>
      </c>
      <c r="G554" s="175">
        <v>0.706</v>
      </c>
      <c r="H554" s="146">
        <f t="shared" si="45"/>
        <v>0</v>
      </c>
      <c r="I554" s="146">
        <v>2.4</v>
      </c>
      <c r="J554" s="147">
        <f t="shared" si="46"/>
        <v>0</v>
      </c>
      <c r="K554" s="148">
        <f t="shared" si="47"/>
        <v>0</v>
      </c>
    </row>
    <row r="555" spans="2:11" ht="15">
      <c r="B555" s="144" t="s">
        <v>476</v>
      </c>
      <c r="C555" s="132" t="s">
        <v>447</v>
      </c>
      <c r="D555" s="132" t="s">
        <v>450</v>
      </c>
      <c r="E555" s="132">
        <v>3</v>
      </c>
      <c r="F555" s="169">
        <f t="shared" si="48"/>
        <v>0</v>
      </c>
      <c r="G555" s="175">
        <v>0.706</v>
      </c>
      <c r="H555" s="146">
        <f t="shared" si="45"/>
        <v>0</v>
      </c>
      <c r="I555" s="146">
        <v>4.1</v>
      </c>
      <c r="J555" s="147">
        <f t="shared" si="46"/>
        <v>0</v>
      </c>
      <c r="K555" s="148">
        <f t="shared" si="47"/>
        <v>0</v>
      </c>
    </row>
    <row r="556" spans="2:11" ht="15">
      <c r="B556" s="144" t="s">
        <v>477</v>
      </c>
      <c r="C556" s="132" t="s">
        <v>447</v>
      </c>
      <c r="D556" s="132" t="s">
        <v>473</v>
      </c>
      <c r="E556" s="132">
        <v>3</v>
      </c>
      <c r="F556" s="169">
        <f t="shared" si="48"/>
        <v>0</v>
      </c>
      <c r="G556" s="175">
        <v>0.706</v>
      </c>
      <c r="H556" s="146">
        <f t="shared" si="45"/>
        <v>0</v>
      </c>
      <c r="I556" s="146">
        <v>2.5</v>
      </c>
      <c r="J556" s="147">
        <f t="shared" si="46"/>
        <v>0</v>
      </c>
      <c r="K556" s="148">
        <f t="shared" si="47"/>
        <v>0</v>
      </c>
    </row>
    <row r="557" spans="2:11" ht="15">
      <c r="B557" s="144" t="s">
        <v>478</v>
      </c>
      <c r="C557" s="132" t="s">
        <v>447</v>
      </c>
      <c r="D557" s="132" t="s">
        <v>475</v>
      </c>
      <c r="E557" s="132">
        <v>3</v>
      </c>
      <c r="F557" s="169">
        <f t="shared" si="48"/>
        <v>0</v>
      </c>
      <c r="G557" s="175">
        <v>0.706</v>
      </c>
      <c r="H557" s="146">
        <f t="shared" si="45"/>
        <v>0</v>
      </c>
      <c r="I557" s="146">
        <v>1.4</v>
      </c>
      <c r="J557" s="147">
        <f t="shared" si="46"/>
        <v>0</v>
      </c>
      <c r="K557" s="148">
        <f t="shared" si="47"/>
        <v>0</v>
      </c>
    </row>
    <row r="558" spans="2:11" ht="15">
      <c r="B558" s="167" t="s">
        <v>470</v>
      </c>
      <c r="C558" s="168" t="s">
        <v>471</v>
      </c>
      <c r="D558" s="168" t="s">
        <v>450</v>
      </c>
      <c r="E558" s="168">
        <v>4</v>
      </c>
      <c r="F558" s="169">
        <f t="shared" si="48"/>
        <v>0</v>
      </c>
      <c r="G558" s="176">
        <v>0.678</v>
      </c>
      <c r="H558" s="170">
        <f t="shared" si="45"/>
        <v>0</v>
      </c>
      <c r="I558" s="168">
        <v>8.5</v>
      </c>
      <c r="J558" s="171">
        <f t="shared" si="46"/>
        <v>0</v>
      </c>
      <c r="K558" s="172">
        <f t="shared" si="47"/>
        <v>0</v>
      </c>
    </row>
    <row r="559" spans="2:11" ht="15">
      <c r="B559" s="144" t="s">
        <v>472</v>
      </c>
      <c r="C559" s="132" t="s">
        <v>471</v>
      </c>
      <c r="D559" s="132" t="s">
        <v>473</v>
      </c>
      <c r="E559" s="132">
        <v>4</v>
      </c>
      <c r="F559" s="169">
        <f t="shared" si="48"/>
        <v>0</v>
      </c>
      <c r="G559" s="175">
        <v>0.678</v>
      </c>
      <c r="H559" s="146">
        <f t="shared" si="45"/>
        <v>0</v>
      </c>
      <c r="I559" s="146">
        <v>5.2</v>
      </c>
      <c r="J559" s="147">
        <f t="shared" si="46"/>
        <v>0</v>
      </c>
      <c r="K559" s="148">
        <f t="shared" si="47"/>
        <v>0</v>
      </c>
    </row>
    <row r="560" spans="2:11" ht="15">
      <c r="B560" s="144" t="s">
        <v>474</v>
      </c>
      <c r="C560" s="132" t="s">
        <v>471</v>
      </c>
      <c r="D560" s="132" t="s">
        <v>475</v>
      </c>
      <c r="E560" s="132">
        <v>4</v>
      </c>
      <c r="F560" s="169">
        <f t="shared" si="48"/>
        <v>0</v>
      </c>
      <c r="G560" s="175">
        <v>0.678</v>
      </c>
      <c r="H560" s="146">
        <f t="shared" si="45"/>
        <v>0</v>
      </c>
      <c r="I560" s="146">
        <v>2.8</v>
      </c>
      <c r="J560" s="147">
        <f t="shared" si="46"/>
        <v>0</v>
      </c>
      <c r="K560" s="148">
        <f t="shared" si="47"/>
        <v>0</v>
      </c>
    </row>
    <row r="561" spans="2:11" ht="15">
      <c r="B561" s="144" t="s">
        <v>476</v>
      </c>
      <c r="C561" s="132" t="s">
        <v>447</v>
      </c>
      <c r="D561" s="132" t="s">
        <v>450</v>
      </c>
      <c r="E561" s="132">
        <v>4</v>
      </c>
      <c r="F561" s="169">
        <f t="shared" si="48"/>
        <v>0</v>
      </c>
      <c r="G561" s="175">
        <v>0.678</v>
      </c>
      <c r="H561" s="146">
        <f t="shared" si="45"/>
        <v>0</v>
      </c>
      <c r="I561" s="146">
        <v>5.2</v>
      </c>
      <c r="J561" s="147">
        <f t="shared" si="46"/>
        <v>0</v>
      </c>
      <c r="K561" s="148">
        <f t="shared" si="47"/>
        <v>0</v>
      </c>
    </row>
    <row r="562" spans="2:11" ht="15">
      <c r="B562" s="144" t="s">
        <v>477</v>
      </c>
      <c r="C562" s="132" t="s">
        <v>447</v>
      </c>
      <c r="D562" s="132" t="s">
        <v>473</v>
      </c>
      <c r="E562" s="132">
        <v>4</v>
      </c>
      <c r="F562" s="169">
        <f t="shared" si="48"/>
        <v>0</v>
      </c>
      <c r="G562" s="175">
        <v>0.678</v>
      </c>
      <c r="H562" s="146">
        <f t="shared" si="45"/>
        <v>0</v>
      </c>
      <c r="I562" s="146">
        <v>3.1</v>
      </c>
      <c r="J562" s="147">
        <f t="shared" si="46"/>
        <v>0</v>
      </c>
      <c r="K562" s="148">
        <f t="shared" si="47"/>
        <v>0</v>
      </c>
    </row>
    <row r="563" spans="2:11" ht="15">
      <c r="B563" s="144" t="s">
        <v>478</v>
      </c>
      <c r="C563" s="132" t="s">
        <v>447</v>
      </c>
      <c r="D563" s="132" t="s">
        <v>475</v>
      </c>
      <c r="E563" s="132">
        <v>4</v>
      </c>
      <c r="F563" s="169">
        <f t="shared" si="48"/>
        <v>0</v>
      </c>
      <c r="G563" s="175">
        <v>0.678</v>
      </c>
      <c r="H563" s="146">
        <f t="shared" si="45"/>
        <v>0</v>
      </c>
      <c r="I563" s="146">
        <v>1.6</v>
      </c>
      <c r="J563" s="147">
        <f t="shared" si="46"/>
        <v>0</v>
      </c>
      <c r="K563" s="148">
        <f t="shared" si="47"/>
        <v>0</v>
      </c>
    </row>
    <row r="564" spans="2:11" ht="15">
      <c r="B564" s="167" t="s">
        <v>470</v>
      </c>
      <c r="C564" s="168" t="s">
        <v>471</v>
      </c>
      <c r="D564" s="168" t="s">
        <v>450</v>
      </c>
      <c r="E564" s="168">
        <v>5</v>
      </c>
      <c r="F564" s="169">
        <f t="shared" si="48"/>
        <v>0</v>
      </c>
      <c r="G564" s="176">
        <v>0.658</v>
      </c>
      <c r="H564" s="170">
        <f t="shared" si="45"/>
        <v>0</v>
      </c>
      <c r="I564" s="168">
        <v>10.1</v>
      </c>
      <c r="J564" s="171">
        <f t="shared" si="46"/>
        <v>0</v>
      </c>
      <c r="K564" s="172">
        <f t="shared" si="47"/>
        <v>0</v>
      </c>
    </row>
    <row r="565" spans="2:11" ht="15">
      <c r="B565" s="144" t="s">
        <v>472</v>
      </c>
      <c r="C565" s="132" t="s">
        <v>471</v>
      </c>
      <c r="D565" s="132" t="s">
        <v>473</v>
      </c>
      <c r="E565" s="132">
        <v>5</v>
      </c>
      <c r="F565" s="169">
        <f t="shared" si="48"/>
        <v>0</v>
      </c>
      <c r="G565" s="175">
        <v>0.658</v>
      </c>
      <c r="H565" s="146">
        <f t="shared" si="45"/>
        <v>0</v>
      </c>
      <c r="I565" s="146">
        <v>6.1</v>
      </c>
      <c r="J565" s="147">
        <f t="shared" si="46"/>
        <v>0</v>
      </c>
      <c r="K565" s="148">
        <f t="shared" si="47"/>
        <v>0</v>
      </c>
    </row>
    <row r="566" spans="2:11" ht="15">
      <c r="B566" s="144" t="s">
        <v>474</v>
      </c>
      <c r="C566" s="132" t="s">
        <v>471</v>
      </c>
      <c r="D566" s="132" t="s">
        <v>475</v>
      </c>
      <c r="E566" s="132">
        <v>5</v>
      </c>
      <c r="F566" s="169">
        <f t="shared" si="48"/>
        <v>0</v>
      </c>
      <c r="G566" s="175">
        <v>0.658</v>
      </c>
      <c r="H566" s="146">
        <f t="shared" si="45"/>
        <v>0</v>
      </c>
      <c r="I566" s="146">
        <v>3.2</v>
      </c>
      <c r="J566" s="147">
        <f t="shared" si="46"/>
        <v>0</v>
      </c>
      <c r="K566" s="148">
        <f t="shared" si="47"/>
        <v>0</v>
      </c>
    </row>
    <row r="567" spans="2:11" ht="15">
      <c r="B567" s="144" t="s">
        <v>476</v>
      </c>
      <c r="C567" s="132" t="s">
        <v>447</v>
      </c>
      <c r="D567" s="132" t="s">
        <v>450</v>
      </c>
      <c r="E567" s="132">
        <v>5</v>
      </c>
      <c r="F567" s="169">
        <f t="shared" si="48"/>
        <v>0</v>
      </c>
      <c r="G567" s="175">
        <v>0.658</v>
      </c>
      <c r="H567" s="146">
        <f t="shared" si="45"/>
        <v>0</v>
      </c>
      <c r="I567" s="146">
        <v>6.4</v>
      </c>
      <c r="J567" s="147">
        <f t="shared" si="46"/>
        <v>0</v>
      </c>
      <c r="K567" s="148">
        <f t="shared" si="47"/>
        <v>0</v>
      </c>
    </row>
    <row r="568" spans="2:11" ht="15">
      <c r="B568" s="144" t="s">
        <v>477</v>
      </c>
      <c r="C568" s="132" t="s">
        <v>447</v>
      </c>
      <c r="D568" s="132" t="s">
        <v>473</v>
      </c>
      <c r="E568" s="132">
        <v>5</v>
      </c>
      <c r="F568" s="169">
        <f t="shared" si="48"/>
        <v>0</v>
      </c>
      <c r="G568" s="175">
        <v>0.658</v>
      </c>
      <c r="H568" s="146">
        <f t="shared" si="45"/>
        <v>0</v>
      </c>
      <c r="I568" s="146">
        <v>3.7</v>
      </c>
      <c r="J568" s="147">
        <f t="shared" si="46"/>
        <v>0</v>
      </c>
      <c r="K568" s="148">
        <f t="shared" si="47"/>
        <v>0</v>
      </c>
    </row>
    <row r="569" spans="2:11" ht="15">
      <c r="B569" s="144" t="s">
        <v>478</v>
      </c>
      <c r="C569" s="132" t="s">
        <v>447</v>
      </c>
      <c r="D569" s="132" t="s">
        <v>475</v>
      </c>
      <c r="E569" s="132">
        <v>5</v>
      </c>
      <c r="F569" s="169">
        <f t="shared" si="48"/>
        <v>0</v>
      </c>
      <c r="G569" s="175">
        <v>0.658</v>
      </c>
      <c r="H569" s="146">
        <f t="shared" si="45"/>
        <v>0</v>
      </c>
      <c r="I569" s="146">
        <v>1.9</v>
      </c>
      <c r="J569" s="147">
        <f t="shared" si="46"/>
        <v>0</v>
      </c>
      <c r="K569" s="148">
        <f t="shared" si="47"/>
        <v>0</v>
      </c>
    </row>
    <row r="570" spans="2:11" ht="15">
      <c r="B570" s="167" t="s">
        <v>470</v>
      </c>
      <c r="C570" s="168" t="s">
        <v>471</v>
      </c>
      <c r="D570" s="168" t="s">
        <v>450</v>
      </c>
      <c r="E570" s="168">
        <v>6</v>
      </c>
      <c r="F570" s="169">
        <f t="shared" si="48"/>
        <v>0</v>
      </c>
      <c r="G570" s="176">
        <v>0.644</v>
      </c>
      <c r="H570" s="170">
        <f t="shared" si="45"/>
        <v>0</v>
      </c>
      <c r="I570" s="168">
        <v>11.8</v>
      </c>
      <c r="J570" s="171">
        <f t="shared" si="46"/>
        <v>0</v>
      </c>
      <c r="K570" s="172">
        <f t="shared" si="47"/>
        <v>0</v>
      </c>
    </row>
    <row r="571" spans="2:11" ht="15">
      <c r="B571" s="144" t="s">
        <v>472</v>
      </c>
      <c r="C571" s="132" t="s">
        <v>471</v>
      </c>
      <c r="D571" s="132" t="s">
        <v>473</v>
      </c>
      <c r="E571" s="132">
        <v>6</v>
      </c>
      <c r="F571" s="169">
        <f t="shared" si="48"/>
        <v>0</v>
      </c>
      <c r="G571" s="175">
        <v>0.639</v>
      </c>
      <c r="H571" s="146">
        <f t="shared" si="45"/>
        <v>0</v>
      </c>
      <c r="I571" s="146">
        <v>7.1</v>
      </c>
      <c r="J571" s="147">
        <f t="shared" si="46"/>
        <v>0</v>
      </c>
      <c r="K571" s="148">
        <f t="shared" si="47"/>
        <v>0</v>
      </c>
    </row>
    <row r="572" spans="2:11" ht="15">
      <c r="B572" s="144" t="s">
        <v>474</v>
      </c>
      <c r="C572" s="132" t="s">
        <v>471</v>
      </c>
      <c r="D572" s="132" t="s">
        <v>475</v>
      </c>
      <c r="E572" s="132">
        <v>6</v>
      </c>
      <c r="F572" s="169">
        <f t="shared" si="48"/>
        <v>0</v>
      </c>
      <c r="G572" s="175">
        <v>0.639</v>
      </c>
      <c r="H572" s="146">
        <f t="shared" si="45"/>
        <v>0</v>
      </c>
      <c r="I572" s="146">
        <v>3.7</v>
      </c>
      <c r="J572" s="147">
        <f t="shared" si="46"/>
        <v>0</v>
      </c>
      <c r="K572" s="148">
        <f t="shared" si="47"/>
        <v>0</v>
      </c>
    </row>
    <row r="573" spans="2:11" ht="15">
      <c r="B573" s="144" t="s">
        <v>476</v>
      </c>
      <c r="C573" s="132" t="s">
        <v>447</v>
      </c>
      <c r="D573" s="132" t="s">
        <v>450</v>
      </c>
      <c r="E573" s="132">
        <v>6</v>
      </c>
      <c r="F573" s="169">
        <f t="shared" si="48"/>
        <v>0</v>
      </c>
      <c r="G573" s="175">
        <v>0.644</v>
      </c>
      <c r="H573" s="146">
        <f t="shared" si="45"/>
        <v>0</v>
      </c>
      <c r="I573" s="146">
        <v>7.6</v>
      </c>
      <c r="J573" s="147">
        <f t="shared" si="46"/>
        <v>0</v>
      </c>
      <c r="K573" s="148">
        <f t="shared" si="47"/>
        <v>0</v>
      </c>
    </row>
    <row r="574" spans="2:11" ht="15">
      <c r="B574" s="144" t="s">
        <v>477</v>
      </c>
      <c r="C574" s="132" t="s">
        <v>447</v>
      </c>
      <c r="D574" s="132" t="s">
        <v>473</v>
      </c>
      <c r="E574" s="132">
        <v>6</v>
      </c>
      <c r="F574" s="169">
        <f t="shared" si="48"/>
        <v>0</v>
      </c>
      <c r="G574" s="175">
        <v>0.639</v>
      </c>
      <c r="H574" s="146">
        <f t="shared" si="45"/>
        <v>0</v>
      </c>
      <c r="I574" s="146">
        <v>4.4</v>
      </c>
      <c r="J574" s="147">
        <f t="shared" si="46"/>
        <v>0</v>
      </c>
      <c r="K574" s="148">
        <f t="shared" si="47"/>
        <v>0</v>
      </c>
    </row>
    <row r="575" spans="2:11" ht="15">
      <c r="B575" s="144" t="s">
        <v>478</v>
      </c>
      <c r="C575" s="132" t="s">
        <v>447</v>
      </c>
      <c r="D575" s="132" t="s">
        <v>475</v>
      </c>
      <c r="E575" s="132">
        <v>6</v>
      </c>
      <c r="F575" s="169">
        <f t="shared" si="48"/>
        <v>0</v>
      </c>
      <c r="G575" s="175">
        <v>0.639</v>
      </c>
      <c r="H575" s="146">
        <f t="shared" si="45"/>
        <v>0</v>
      </c>
      <c r="I575" s="146">
        <v>2.2</v>
      </c>
      <c r="J575" s="147">
        <f t="shared" si="46"/>
        <v>0</v>
      </c>
      <c r="K575" s="148">
        <f t="shared" si="47"/>
        <v>0</v>
      </c>
    </row>
    <row r="576" spans="2:11" ht="15">
      <c r="B576" s="167" t="s">
        <v>470</v>
      </c>
      <c r="C576" s="168" t="s">
        <v>471</v>
      </c>
      <c r="D576" s="168" t="s">
        <v>450</v>
      </c>
      <c r="E576" s="168">
        <v>7</v>
      </c>
      <c r="F576" s="169">
        <f t="shared" si="48"/>
        <v>0</v>
      </c>
      <c r="G576" s="176">
        <v>0.63</v>
      </c>
      <c r="H576" s="170">
        <f t="shared" si="45"/>
        <v>0</v>
      </c>
      <c r="I576" s="168">
        <v>13.6</v>
      </c>
      <c r="J576" s="171">
        <f t="shared" si="46"/>
        <v>0</v>
      </c>
      <c r="K576" s="172">
        <f t="shared" si="47"/>
        <v>0</v>
      </c>
    </row>
    <row r="577" spans="2:11" ht="15">
      <c r="B577" s="144" t="s">
        <v>472</v>
      </c>
      <c r="C577" s="132" t="s">
        <v>471</v>
      </c>
      <c r="D577" s="132" t="s">
        <v>473</v>
      </c>
      <c r="E577" s="132">
        <v>7</v>
      </c>
      <c r="F577" s="169">
        <f t="shared" si="48"/>
        <v>0</v>
      </c>
      <c r="G577" s="175">
        <v>0.621</v>
      </c>
      <c r="H577" s="146">
        <f t="shared" si="45"/>
        <v>0</v>
      </c>
      <c r="I577" s="146">
        <v>8.1</v>
      </c>
      <c r="J577" s="147">
        <f t="shared" si="46"/>
        <v>0</v>
      </c>
      <c r="K577" s="148">
        <f t="shared" si="47"/>
        <v>0</v>
      </c>
    </row>
    <row r="578" spans="2:11" ht="15">
      <c r="B578" s="144" t="s">
        <v>474</v>
      </c>
      <c r="C578" s="132" t="s">
        <v>471</v>
      </c>
      <c r="D578" s="132" t="s">
        <v>475</v>
      </c>
      <c r="E578" s="132">
        <v>7</v>
      </c>
      <c r="F578" s="169">
        <f t="shared" si="48"/>
        <v>0</v>
      </c>
      <c r="G578" s="175">
        <v>0.621</v>
      </c>
      <c r="H578" s="146">
        <f t="shared" si="45"/>
        <v>0</v>
      </c>
      <c r="I578" s="146">
        <v>4.1</v>
      </c>
      <c r="J578" s="147">
        <f t="shared" si="46"/>
        <v>0</v>
      </c>
      <c r="K578" s="148">
        <f t="shared" si="47"/>
        <v>0</v>
      </c>
    </row>
    <row r="579" spans="2:11" ht="15">
      <c r="B579" s="144" t="s">
        <v>476</v>
      </c>
      <c r="C579" s="132" t="s">
        <v>447</v>
      </c>
      <c r="D579" s="132" t="s">
        <v>450</v>
      </c>
      <c r="E579" s="132">
        <v>7</v>
      </c>
      <c r="F579" s="169">
        <f t="shared" si="48"/>
        <v>0</v>
      </c>
      <c r="G579" s="175">
        <v>0.63</v>
      </c>
      <c r="H579" s="146">
        <f t="shared" si="45"/>
        <v>0</v>
      </c>
      <c r="I579" s="146">
        <v>8.9</v>
      </c>
      <c r="J579" s="147">
        <f t="shared" si="46"/>
        <v>0</v>
      </c>
      <c r="K579" s="148">
        <f t="shared" si="47"/>
        <v>0</v>
      </c>
    </row>
    <row r="580" spans="2:11" ht="15">
      <c r="B580" s="144" t="s">
        <v>477</v>
      </c>
      <c r="C580" s="132" t="s">
        <v>447</v>
      </c>
      <c r="D580" s="132" t="s">
        <v>473</v>
      </c>
      <c r="E580" s="132">
        <v>7</v>
      </c>
      <c r="F580" s="169">
        <f t="shared" si="48"/>
        <v>0</v>
      </c>
      <c r="G580" s="175">
        <v>0.621</v>
      </c>
      <c r="H580" s="146">
        <f t="shared" si="45"/>
        <v>0</v>
      </c>
      <c r="I580" s="146">
        <v>5.1</v>
      </c>
      <c r="J580" s="147">
        <f t="shared" si="46"/>
        <v>0</v>
      </c>
      <c r="K580" s="148">
        <f t="shared" si="47"/>
        <v>0</v>
      </c>
    </row>
    <row r="581" spans="2:11" ht="15">
      <c r="B581" s="144" t="s">
        <v>478</v>
      </c>
      <c r="C581" s="132" t="s">
        <v>447</v>
      </c>
      <c r="D581" s="132" t="s">
        <v>475</v>
      </c>
      <c r="E581" s="132">
        <v>7</v>
      </c>
      <c r="F581" s="169">
        <f t="shared" si="48"/>
        <v>0</v>
      </c>
      <c r="G581" s="175">
        <v>0.621</v>
      </c>
      <c r="H581" s="146">
        <f t="shared" si="45"/>
        <v>0</v>
      </c>
      <c r="I581" s="146">
        <v>2.5</v>
      </c>
      <c r="J581" s="147">
        <f t="shared" si="46"/>
        <v>0</v>
      </c>
      <c r="K581" s="148">
        <f t="shared" si="47"/>
        <v>0</v>
      </c>
    </row>
    <row r="582" spans="2:11" ht="15">
      <c r="B582" s="167" t="s">
        <v>470</v>
      </c>
      <c r="C582" s="168" t="s">
        <v>471</v>
      </c>
      <c r="D582" s="168" t="s">
        <v>450</v>
      </c>
      <c r="E582" s="168">
        <v>8</v>
      </c>
      <c r="F582" s="169">
        <f t="shared" si="48"/>
        <v>0</v>
      </c>
      <c r="G582" s="176">
        <v>0.616</v>
      </c>
      <c r="H582" s="170">
        <f t="shared" si="45"/>
        <v>0</v>
      </c>
      <c r="I582" s="168">
        <v>15.5</v>
      </c>
      <c r="J582" s="171">
        <f t="shared" si="46"/>
        <v>0</v>
      </c>
      <c r="K582" s="172">
        <f t="shared" si="47"/>
        <v>0</v>
      </c>
    </row>
    <row r="583" spans="2:11" ht="15">
      <c r="B583" s="144" t="s">
        <v>472</v>
      </c>
      <c r="C583" s="132" t="s">
        <v>471</v>
      </c>
      <c r="D583" s="132" t="s">
        <v>473</v>
      </c>
      <c r="E583" s="132">
        <v>8</v>
      </c>
      <c r="F583" s="169">
        <f t="shared" si="48"/>
        <v>0</v>
      </c>
      <c r="G583" s="175">
        <v>0.603</v>
      </c>
      <c r="H583" s="146">
        <f t="shared" si="45"/>
        <v>0</v>
      </c>
      <c r="I583" s="146">
        <v>9.1</v>
      </c>
      <c r="J583" s="147">
        <f t="shared" si="46"/>
        <v>0</v>
      </c>
      <c r="K583" s="148">
        <f t="shared" si="47"/>
        <v>0</v>
      </c>
    </row>
    <row r="584" spans="2:11" ht="15">
      <c r="B584" s="144" t="s">
        <v>474</v>
      </c>
      <c r="C584" s="132" t="s">
        <v>471</v>
      </c>
      <c r="D584" s="132" t="s">
        <v>475</v>
      </c>
      <c r="E584" s="132">
        <v>8</v>
      </c>
      <c r="F584" s="169">
        <f t="shared" si="48"/>
        <v>0</v>
      </c>
      <c r="G584" s="175">
        <v>0.603</v>
      </c>
      <c r="H584" s="146">
        <f t="shared" si="45"/>
        <v>0</v>
      </c>
      <c r="I584" s="146">
        <v>4.6</v>
      </c>
      <c r="J584" s="147">
        <f t="shared" si="46"/>
        <v>0</v>
      </c>
      <c r="K584" s="148">
        <f t="shared" si="47"/>
        <v>0</v>
      </c>
    </row>
    <row r="585" spans="2:11" ht="15">
      <c r="B585" s="144" t="s">
        <v>476</v>
      </c>
      <c r="C585" s="132" t="s">
        <v>447</v>
      </c>
      <c r="D585" s="132" t="s">
        <v>450</v>
      </c>
      <c r="E585" s="132">
        <v>8</v>
      </c>
      <c r="F585" s="169">
        <f t="shared" si="48"/>
        <v>0</v>
      </c>
      <c r="G585" s="175">
        <v>0.616</v>
      </c>
      <c r="H585" s="146">
        <f t="shared" si="45"/>
        <v>0</v>
      </c>
      <c r="I585" s="146">
        <v>10.2</v>
      </c>
      <c r="J585" s="147">
        <f t="shared" si="46"/>
        <v>0</v>
      </c>
      <c r="K585" s="148">
        <f t="shared" si="47"/>
        <v>0</v>
      </c>
    </row>
    <row r="586" spans="2:11" ht="15">
      <c r="B586" s="144" t="s">
        <v>477</v>
      </c>
      <c r="C586" s="132" t="s">
        <v>447</v>
      </c>
      <c r="D586" s="132" t="s">
        <v>473</v>
      </c>
      <c r="E586" s="132">
        <v>8</v>
      </c>
      <c r="F586" s="169">
        <f t="shared" si="48"/>
        <v>0</v>
      </c>
      <c r="G586" s="175">
        <v>0.603</v>
      </c>
      <c r="H586" s="146">
        <f t="shared" si="45"/>
        <v>0</v>
      </c>
      <c r="I586" s="146">
        <v>5.8</v>
      </c>
      <c r="J586" s="147">
        <f t="shared" si="46"/>
        <v>0</v>
      </c>
      <c r="K586" s="148">
        <f t="shared" si="47"/>
        <v>0</v>
      </c>
    </row>
    <row r="587" spans="2:11" ht="15">
      <c r="B587" s="144" t="s">
        <v>478</v>
      </c>
      <c r="C587" s="132" t="s">
        <v>447</v>
      </c>
      <c r="D587" s="132" t="s">
        <v>475</v>
      </c>
      <c r="E587" s="132">
        <v>8</v>
      </c>
      <c r="F587" s="169">
        <f t="shared" si="48"/>
        <v>0</v>
      </c>
      <c r="G587" s="175">
        <v>0.603</v>
      </c>
      <c r="H587" s="146">
        <f t="shared" si="45"/>
        <v>0</v>
      </c>
      <c r="I587" s="146">
        <v>2.8</v>
      </c>
      <c r="J587" s="147">
        <f t="shared" si="46"/>
        <v>0</v>
      </c>
      <c r="K587" s="148">
        <f t="shared" si="47"/>
        <v>0</v>
      </c>
    </row>
    <row r="588" spans="2:11" ht="15">
      <c r="B588" s="167" t="s">
        <v>470</v>
      </c>
      <c r="C588" s="168" t="s">
        <v>471</v>
      </c>
      <c r="D588" s="168" t="s">
        <v>450</v>
      </c>
      <c r="E588" s="168">
        <v>9</v>
      </c>
      <c r="F588" s="169">
        <f t="shared" si="48"/>
        <v>0</v>
      </c>
      <c r="G588" s="176">
        <v>0.602</v>
      </c>
      <c r="H588" s="170">
        <f t="shared" si="45"/>
        <v>0</v>
      </c>
      <c r="I588" s="168">
        <v>17.4</v>
      </c>
      <c r="J588" s="171">
        <f t="shared" si="46"/>
        <v>0</v>
      </c>
      <c r="K588" s="172">
        <f t="shared" si="47"/>
        <v>0</v>
      </c>
    </row>
    <row r="589" spans="2:11" ht="15">
      <c r="B589" s="144" t="s">
        <v>472</v>
      </c>
      <c r="C589" s="132" t="s">
        <v>471</v>
      </c>
      <c r="D589" s="132" t="s">
        <v>473</v>
      </c>
      <c r="E589" s="132">
        <v>9</v>
      </c>
      <c r="F589" s="169">
        <f t="shared" si="48"/>
        <v>0</v>
      </c>
      <c r="G589" s="175">
        <v>0.589</v>
      </c>
      <c r="H589" s="146">
        <f t="shared" si="45"/>
        <v>0</v>
      </c>
      <c r="I589" s="146">
        <v>10.2</v>
      </c>
      <c r="J589" s="147">
        <f t="shared" si="46"/>
        <v>0</v>
      </c>
      <c r="K589" s="148">
        <f t="shared" si="47"/>
        <v>0</v>
      </c>
    </row>
    <row r="590" spans="2:11" ht="15">
      <c r="B590" s="144" t="s">
        <v>474</v>
      </c>
      <c r="C590" s="132" t="s">
        <v>471</v>
      </c>
      <c r="D590" s="132" t="s">
        <v>475</v>
      </c>
      <c r="E590" s="132">
        <v>9</v>
      </c>
      <c r="F590" s="169">
        <f t="shared" si="48"/>
        <v>0</v>
      </c>
      <c r="G590" s="175">
        <v>0.585</v>
      </c>
      <c r="H590" s="146">
        <f t="shared" si="45"/>
        <v>0</v>
      </c>
      <c r="I590" s="146">
        <v>5</v>
      </c>
      <c r="J590" s="147">
        <f t="shared" si="46"/>
        <v>0</v>
      </c>
      <c r="K590" s="148">
        <f t="shared" si="47"/>
        <v>0</v>
      </c>
    </row>
    <row r="591" spans="2:11" ht="15">
      <c r="B591" s="144" t="s">
        <v>476</v>
      </c>
      <c r="C591" s="132" t="s">
        <v>447</v>
      </c>
      <c r="D591" s="132" t="s">
        <v>450</v>
      </c>
      <c r="E591" s="132">
        <v>9</v>
      </c>
      <c r="F591" s="169">
        <f t="shared" si="48"/>
        <v>0</v>
      </c>
      <c r="G591" s="175">
        <v>0.602</v>
      </c>
      <c r="H591" s="146">
        <f t="shared" si="45"/>
        <v>0</v>
      </c>
      <c r="I591" s="146">
        <v>11.7</v>
      </c>
      <c r="J591" s="147">
        <f t="shared" si="46"/>
        <v>0</v>
      </c>
      <c r="K591" s="148">
        <f t="shared" si="47"/>
        <v>0</v>
      </c>
    </row>
    <row r="592" spans="2:11" ht="15">
      <c r="B592" s="144" t="s">
        <v>477</v>
      </c>
      <c r="C592" s="132" t="s">
        <v>447</v>
      </c>
      <c r="D592" s="132" t="s">
        <v>473</v>
      </c>
      <c r="E592" s="132">
        <v>9</v>
      </c>
      <c r="F592" s="169">
        <f t="shared" si="48"/>
        <v>0</v>
      </c>
      <c r="G592" s="175">
        <v>0.589</v>
      </c>
      <c r="H592" s="146">
        <f t="shared" si="45"/>
        <v>0</v>
      </c>
      <c r="I592" s="146">
        <v>6.6</v>
      </c>
      <c r="J592" s="147">
        <f t="shared" si="46"/>
        <v>0</v>
      </c>
      <c r="K592" s="148">
        <f t="shared" si="47"/>
        <v>0</v>
      </c>
    </row>
    <row r="593" spans="2:11" ht="15">
      <c r="B593" s="144" t="s">
        <v>478</v>
      </c>
      <c r="C593" s="132" t="s">
        <v>447</v>
      </c>
      <c r="D593" s="132" t="s">
        <v>475</v>
      </c>
      <c r="E593" s="132">
        <v>9</v>
      </c>
      <c r="F593" s="169">
        <f t="shared" si="48"/>
        <v>0</v>
      </c>
      <c r="G593" s="175">
        <v>0.585</v>
      </c>
      <c r="H593" s="146">
        <f t="shared" si="45"/>
        <v>0</v>
      </c>
      <c r="I593" s="146">
        <v>3.1</v>
      </c>
      <c r="J593" s="147">
        <f t="shared" si="46"/>
        <v>0</v>
      </c>
      <c r="K593" s="148">
        <f t="shared" si="47"/>
        <v>0</v>
      </c>
    </row>
    <row r="594" spans="2:11" ht="15">
      <c r="B594" s="167" t="s">
        <v>470</v>
      </c>
      <c r="C594" s="168" t="s">
        <v>471</v>
      </c>
      <c r="D594" s="168" t="s">
        <v>450</v>
      </c>
      <c r="E594" s="168">
        <v>10</v>
      </c>
      <c r="F594" s="169">
        <f t="shared" si="48"/>
        <v>0</v>
      </c>
      <c r="G594" s="176">
        <v>0.589</v>
      </c>
      <c r="H594" s="170">
        <f t="shared" si="45"/>
        <v>0</v>
      </c>
      <c r="I594" s="168">
        <v>19.3</v>
      </c>
      <c r="J594" s="171">
        <f t="shared" si="46"/>
        <v>0</v>
      </c>
      <c r="K594" s="172">
        <f t="shared" si="47"/>
        <v>0</v>
      </c>
    </row>
    <row r="595" spans="2:11" ht="15">
      <c r="B595" s="144" t="s">
        <v>472</v>
      </c>
      <c r="C595" s="132" t="s">
        <v>471</v>
      </c>
      <c r="D595" s="132" t="s">
        <v>473</v>
      </c>
      <c r="E595" s="132">
        <v>10</v>
      </c>
      <c r="F595" s="169">
        <f t="shared" si="48"/>
        <v>0</v>
      </c>
      <c r="G595" s="175">
        <v>0.576</v>
      </c>
      <c r="H595" s="146">
        <f t="shared" si="45"/>
        <v>0</v>
      </c>
      <c r="I595" s="146">
        <v>11.2</v>
      </c>
      <c r="J595" s="147">
        <f t="shared" si="46"/>
        <v>0</v>
      </c>
      <c r="K595" s="148">
        <f t="shared" si="47"/>
        <v>0</v>
      </c>
    </row>
    <row r="596" spans="2:11" ht="15">
      <c r="B596" s="144" t="s">
        <v>474</v>
      </c>
      <c r="C596" s="132" t="s">
        <v>471</v>
      </c>
      <c r="D596" s="132" t="s">
        <v>475</v>
      </c>
      <c r="E596" s="132">
        <v>10</v>
      </c>
      <c r="F596" s="169">
        <f t="shared" si="48"/>
        <v>0</v>
      </c>
      <c r="G596" s="175">
        <v>0.568</v>
      </c>
      <c r="H596" s="146">
        <f t="shared" si="45"/>
        <v>0</v>
      </c>
      <c r="I596" s="146">
        <v>5.5</v>
      </c>
      <c r="J596" s="147">
        <f t="shared" si="46"/>
        <v>0</v>
      </c>
      <c r="K596" s="148">
        <f t="shared" si="47"/>
        <v>0</v>
      </c>
    </row>
    <row r="597" spans="2:11" ht="15">
      <c r="B597" s="144" t="s">
        <v>476</v>
      </c>
      <c r="C597" s="132" t="s">
        <v>447</v>
      </c>
      <c r="D597" s="132" t="s">
        <v>450</v>
      </c>
      <c r="E597" s="132">
        <v>10</v>
      </c>
      <c r="F597" s="169">
        <f t="shared" si="48"/>
        <v>0</v>
      </c>
      <c r="G597" s="175">
        <v>0.589</v>
      </c>
      <c r="H597" s="146">
        <f t="shared" si="45"/>
        <v>0</v>
      </c>
      <c r="I597" s="146">
        <v>13.2</v>
      </c>
      <c r="J597" s="147">
        <f t="shared" si="46"/>
        <v>0</v>
      </c>
      <c r="K597" s="148">
        <f t="shared" si="47"/>
        <v>0</v>
      </c>
    </row>
    <row r="598" spans="2:11" ht="15">
      <c r="B598" s="144" t="s">
        <v>477</v>
      </c>
      <c r="C598" s="132" t="s">
        <v>447</v>
      </c>
      <c r="D598" s="132" t="s">
        <v>473</v>
      </c>
      <c r="E598" s="132">
        <v>10</v>
      </c>
      <c r="F598" s="169">
        <f t="shared" si="48"/>
        <v>0</v>
      </c>
      <c r="G598" s="175">
        <v>0.576</v>
      </c>
      <c r="H598" s="146">
        <f aca="true" t="shared" si="49" ref="H598:H603">F598*G598</f>
        <v>0</v>
      </c>
      <c r="I598" s="146">
        <v>7.4</v>
      </c>
      <c r="J598" s="147">
        <f aca="true" t="shared" si="50" ref="J598:J603">H598*I598</f>
        <v>0</v>
      </c>
      <c r="K598" s="148">
        <f aca="true" t="shared" si="51" ref="K598:K603">J598/2000</f>
        <v>0</v>
      </c>
    </row>
    <row r="599" spans="2:11" ht="15">
      <c r="B599" s="144" t="s">
        <v>478</v>
      </c>
      <c r="C599" s="132" t="s">
        <v>447</v>
      </c>
      <c r="D599" s="132" t="s">
        <v>475</v>
      </c>
      <c r="E599" s="132">
        <v>10</v>
      </c>
      <c r="F599" s="169">
        <f t="shared" si="48"/>
        <v>0</v>
      </c>
      <c r="G599" s="175">
        <v>0.568</v>
      </c>
      <c r="H599" s="146">
        <f t="shared" si="49"/>
        <v>0</v>
      </c>
      <c r="I599" s="146">
        <v>3.5</v>
      </c>
      <c r="J599" s="147">
        <f t="shared" si="50"/>
        <v>0</v>
      </c>
      <c r="K599" s="148">
        <f t="shared" si="51"/>
        <v>0</v>
      </c>
    </row>
    <row r="600" spans="2:11" ht="15">
      <c r="B600" s="167" t="s">
        <v>470</v>
      </c>
      <c r="C600" s="168" t="s">
        <v>471</v>
      </c>
      <c r="D600" s="168" t="s">
        <v>450</v>
      </c>
      <c r="E600" s="168">
        <v>11</v>
      </c>
      <c r="F600" s="169">
        <f t="shared" si="48"/>
        <v>0</v>
      </c>
      <c r="G600" s="176">
        <v>0.576</v>
      </c>
      <c r="H600" s="170">
        <f t="shared" si="49"/>
        <v>0</v>
      </c>
      <c r="I600" s="168">
        <v>21.3</v>
      </c>
      <c r="J600" s="171">
        <f t="shared" si="50"/>
        <v>0</v>
      </c>
      <c r="K600" s="172">
        <f t="shared" si="51"/>
        <v>0</v>
      </c>
    </row>
    <row r="601" spans="2:11" ht="15">
      <c r="B601" s="144" t="s">
        <v>472</v>
      </c>
      <c r="C601" s="132" t="s">
        <v>471</v>
      </c>
      <c r="D601" s="132" t="s">
        <v>473</v>
      </c>
      <c r="E601" s="132">
        <v>11</v>
      </c>
      <c r="F601" s="169">
        <f t="shared" si="48"/>
        <v>0</v>
      </c>
      <c r="G601" s="175">
        <v>0.564</v>
      </c>
      <c r="H601" s="146">
        <f t="shared" si="49"/>
        <v>0</v>
      </c>
      <c r="I601" s="146">
        <v>12.3</v>
      </c>
      <c r="J601" s="147">
        <f t="shared" si="50"/>
        <v>0</v>
      </c>
      <c r="K601" s="148">
        <f t="shared" si="51"/>
        <v>0</v>
      </c>
    </row>
    <row r="602" spans="2:11" ht="15">
      <c r="B602" s="144" t="s">
        <v>474</v>
      </c>
      <c r="C602" s="132" t="s">
        <v>471</v>
      </c>
      <c r="D602" s="132" t="s">
        <v>475</v>
      </c>
      <c r="E602" s="132">
        <v>11</v>
      </c>
      <c r="F602" s="169">
        <f t="shared" si="48"/>
        <v>0</v>
      </c>
      <c r="G602" s="175">
        <v>0.552</v>
      </c>
      <c r="H602" s="146">
        <f t="shared" si="49"/>
        <v>0</v>
      </c>
      <c r="I602" s="146">
        <v>6</v>
      </c>
      <c r="J602" s="147">
        <f t="shared" si="50"/>
        <v>0</v>
      </c>
      <c r="K602" s="148">
        <f t="shared" si="51"/>
        <v>0</v>
      </c>
    </row>
    <row r="603" spans="2:11" ht="15">
      <c r="B603" s="144" t="s">
        <v>476</v>
      </c>
      <c r="C603" s="132" t="s">
        <v>447</v>
      </c>
      <c r="D603" s="132" t="s">
        <v>450</v>
      </c>
      <c r="E603" s="132">
        <v>11</v>
      </c>
      <c r="F603" s="169">
        <f t="shared" si="48"/>
        <v>0</v>
      </c>
      <c r="G603" s="175">
        <v>0.576</v>
      </c>
      <c r="H603" s="146">
        <f t="shared" si="49"/>
        <v>0</v>
      </c>
      <c r="I603" s="146">
        <v>14.7</v>
      </c>
      <c r="J603" s="147">
        <f t="shared" si="50"/>
        <v>0</v>
      </c>
      <c r="K603" s="148">
        <f t="shared" si="51"/>
        <v>0</v>
      </c>
    </row>
    <row r="604" spans="2:11" ht="15">
      <c r="B604" s="144" t="s">
        <v>477</v>
      </c>
      <c r="C604" s="132" t="s">
        <v>447</v>
      </c>
      <c r="D604" s="132" t="s">
        <v>473</v>
      </c>
      <c r="E604" s="132">
        <v>11</v>
      </c>
      <c r="F604" s="169">
        <f t="shared" si="48"/>
        <v>0</v>
      </c>
      <c r="G604" s="175">
        <v>0.564</v>
      </c>
      <c r="H604" s="146">
        <f>F604*G604</f>
        <v>0</v>
      </c>
      <c r="I604" s="146">
        <v>8.2</v>
      </c>
      <c r="J604" s="147">
        <f>H604*I604</f>
        <v>0</v>
      </c>
      <c r="K604" s="148">
        <f>J604/2000</f>
        <v>0</v>
      </c>
    </row>
    <row r="605" spans="2:11" ht="15.75" thickBot="1">
      <c r="B605" s="144" t="s">
        <v>478</v>
      </c>
      <c r="C605" s="132" t="s">
        <v>447</v>
      </c>
      <c r="D605" s="132" t="s">
        <v>475</v>
      </c>
      <c r="E605" s="132">
        <v>11</v>
      </c>
      <c r="F605" s="169">
        <f>+F524</f>
        <v>0</v>
      </c>
      <c r="G605" s="175">
        <v>0.552</v>
      </c>
      <c r="H605" s="146">
        <f>F605*G605</f>
        <v>0</v>
      </c>
      <c r="I605" s="146">
        <v>3.8</v>
      </c>
      <c r="J605" s="147">
        <f>H605*I605</f>
        <v>0</v>
      </c>
      <c r="K605" s="148">
        <f>J605/2000</f>
        <v>0</v>
      </c>
    </row>
    <row r="606" spans="2:11" ht="15.75" thickTop="1">
      <c r="B606" s="149"/>
      <c r="C606" s="150"/>
      <c r="D606" s="150"/>
      <c r="E606" s="150"/>
      <c r="F606" s="150"/>
      <c r="G606" s="177"/>
      <c r="H606" s="150"/>
      <c r="I606" s="151" t="s">
        <v>479</v>
      </c>
      <c r="J606" s="152">
        <f>SUM(J534:J605)</f>
        <v>0</v>
      </c>
      <c r="K606" s="143">
        <f>J606/2000</f>
        <v>0</v>
      </c>
    </row>
    <row r="607" spans="2:11" ht="15">
      <c r="B607" s="153"/>
      <c r="C607" s="154"/>
      <c r="D607" s="154"/>
      <c r="E607" s="154"/>
      <c r="F607" s="154"/>
      <c r="G607" s="178"/>
      <c r="H607" s="155"/>
      <c r="I607" s="156"/>
      <c r="J607" s="157"/>
      <c r="K607" s="148"/>
    </row>
    <row r="608" spans="2:11" ht="15.75" thickBot="1">
      <c r="B608" s="158"/>
      <c r="C608" s="159"/>
      <c r="D608" s="159"/>
      <c r="E608" s="159"/>
      <c r="F608" s="159"/>
      <c r="G608" s="179"/>
      <c r="H608" s="160"/>
      <c r="I608" s="161" t="s">
        <v>480</v>
      </c>
      <c r="J608" s="162">
        <f>J606*(44/12)</f>
        <v>0</v>
      </c>
      <c r="K608" s="163">
        <f>J608/2000</f>
        <v>0</v>
      </c>
    </row>
    <row r="609" ht="15.75" thickTop="1"/>
    <row r="610" spans="2:11" ht="15.75" thickBot="1">
      <c r="B610" s="217" t="s">
        <v>492</v>
      </c>
      <c r="C610" s="217"/>
      <c r="D610" s="217"/>
      <c r="E610" s="217"/>
      <c r="F610" s="217"/>
      <c r="G610" s="217"/>
      <c r="H610"/>
      <c r="I610"/>
      <c r="J610"/>
      <c r="K610"/>
    </row>
    <row r="611" spans="2:11" ht="15.75" thickBot="1">
      <c r="B611"/>
      <c r="C611"/>
      <c r="D611"/>
      <c r="E611"/>
      <c r="F611"/>
      <c r="G611"/>
      <c r="H611"/>
      <c r="I611"/>
      <c r="J611"/>
      <c r="K611"/>
    </row>
    <row r="612" spans="2:11" ht="15.75" thickTop="1">
      <c r="B612" s="127" t="s">
        <v>445</v>
      </c>
      <c r="C612" s="128"/>
      <c r="D612" s="128"/>
      <c r="E612" s="129" t="s">
        <v>446</v>
      </c>
      <c r="F612" s="129" t="s">
        <v>447</v>
      </c>
      <c r="G612" s="174" t="s">
        <v>448</v>
      </c>
      <c r="H612" s="129" t="s">
        <v>449</v>
      </c>
      <c r="I612" s="129" t="s">
        <v>450</v>
      </c>
      <c r="J612" s="128" t="s">
        <v>451</v>
      </c>
      <c r="K612" s="173"/>
    </row>
    <row r="613" spans="2:11" ht="15">
      <c r="B613" s="130" t="s">
        <v>452</v>
      </c>
      <c r="C613" s="131" t="s">
        <v>453</v>
      </c>
      <c r="D613" s="131" t="s">
        <v>454</v>
      </c>
      <c r="E613" s="132" t="s">
        <v>455</v>
      </c>
      <c r="F613" s="132" t="s">
        <v>456</v>
      </c>
      <c r="G613" s="175" t="s">
        <v>457</v>
      </c>
      <c r="H613" s="132" t="s">
        <v>458</v>
      </c>
      <c r="I613" s="132" t="s">
        <v>459</v>
      </c>
      <c r="J613" s="133" t="s">
        <v>460</v>
      </c>
      <c r="K613" s="134"/>
    </row>
    <row r="614" spans="2:11" ht="15.75" thickBot="1">
      <c r="B614" s="180"/>
      <c r="C614" s="181" t="s">
        <v>461</v>
      </c>
      <c r="D614" s="181" t="s">
        <v>462</v>
      </c>
      <c r="E614" s="181" t="s">
        <v>463</v>
      </c>
      <c r="F614" s="181" t="s">
        <v>464</v>
      </c>
      <c r="G614" s="182" t="s">
        <v>465</v>
      </c>
      <c r="H614" s="183" t="s">
        <v>466</v>
      </c>
      <c r="I614" s="183" t="s">
        <v>467</v>
      </c>
      <c r="J614" s="137" t="s">
        <v>468</v>
      </c>
      <c r="K614" s="138" t="s">
        <v>469</v>
      </c>
    </row>
    <row r="615" spans="2:11" ht="15.75" thickTop="1">
      <c r="B615" s="167" t="s">
        <v>470</v>
      </c>
      <c r="C615" s="168" t="s">
        <v>471</v>
      </c>
      <c r="D615" s="168" t="s">
        <v>450</v>
      </c>
      <c r="E615" s="168">
        <v>0</v>
      </c>
      <c r="F615" s="185">
        <f>+C28</f>
        <v>0</v>
      </c>
      <c r="G615" s="176">
        <v>0.873</v>
      </c>
      <c r="H615" s="170">
        <f aca="true" t="shared" si="52" ref="H615:H678">F615*G615</f>
        <v>0</v>
      </c>
      <c r="I615" s="168">
        <v>2.7</v>
      </c>
      <c r="J615" s="171">
        <f aca="true" t="shared" si="53" ref="J615:J678">H615*I615</f>
        <v>0</v>
      </c>
      <c r="K615" s="172">
        <f aca="true" t="shared" si="54" ref="K615:K678">J615/2000</f>
        <v>0</v>
      </c>
    </row>
    <row r="616" spans="2:11" ht="15">
      <c r="B616" s="144" t="s">
        <v>472</v>
      </c>
      <c r="C616" s="132" t="s">
        <v>471</v>
      </c>
      <c r="D616" s="132" t="s">
        <v>473</v>
      </c>
      <c r="E616" s="132">
        <v>0</v>
      </c>
      <c r="F616" s="145">
        <f>+D28</f>
        <v>0</v>
      </c>
      <c r="G616" s="175">
        <v>0.873</v>
      </c>
      <c r="H616" s="146">
        <f t="shared" si="52"/>
        <v>0</v>
      </c>
      <c r="I616" s="146">
        <v>1.9</v>
      </c>
      <c r="J616" s="147">
        <f t="shared" si="53"/>
        <v>0</v>
      </c>
      <c r="K616" s="148">
        <f t="shared" si="54"/>
        <v>0</v>
      </c>
    </row>
    <row r="617" spans="2:11" ht="15">
      <c r="B617" s="144" t="s">
        <v>474</v>
      </c>
      <c r="C617" s="132" t="s">
        <v>471</v>
      </c>
      <c r="D617" s="132" t="s">
        <v>475</v>
      </c>
      <c r="E617" s="132">
        <v>0</v>
      </c>
      <c r="F617" s="145">
        <f>+E28</f>
        <v>0</v>
      </c>
      <c r="G617" s="175">
        <v>0.873</v>
      </c>
      <c r="H617" s="146">
        <f t="shared" si="52"/>
        <v>0</v>
      </c>
      <c r="I617" s="146">
        <v>1.3</v>
      </c>
      <c r="J617" s="147">
        <f t="shared" si="53"/>
        <v>0</v>
      </c>
      <c r="K617" s="148">
        <f t="shared" si="54"/>
        <v>0</v>
      </c>
    </row>
    <row r="618" spans="2:11" ht="15">
      <c r="B618" s="144" t="s">
        <v>476</v>
      </c>
      <c r="C618" s="132" t="s">
        <v>447</v>
      </c>
      <c r="D618" s="132" t="s">
        <v>450</v>
      </c>
      <c r="E618" s="132">
        <v>0</v>
      </c>
      <c r="F618" s="145">
        <f>+F28</f>
        <v>0</v>
      </c>
      <c r="G618" s="175">
        <v>0.873</v>
      </c>
      <c r="H618" s="146">
        <f t="shared" si="52"/>
        <v>0</v>
      </c>
      <c r="I618" s="146">
        <v>1.4</v>
      </c>
      <c r="J618" s="147">
        <f t="shared" si="53"/>
        <v>0</v>
      </c>
      <c r="K618" s="148">
        <f t="shared" si="54"/>
        <v>0</v>
      </c>
    </row>
    <row r="619" spans="2:11" ht="15">
      <c r="B619" s="144" t="s">
        <v>477</v>
      </c>
      <c r="C619" s="132" t="s">
        <v>447</v>
      </c>
      <c r="D619" s="132" t="s">
        <v>473</v>
      </c>
      <c r="E619" s="132">
        <v>0</v>
      </c>
      <c r="F619" s="145">
        <f>+G28</f>
        <v>0</v>
      </c>
      <c r="G619" s="175">
        <v>0.873</v>
      </c>
      <c r="H619" s="146">
        <f t="shared" si="52"/>
        <v>0</v>
      </c>
      <c r="I619" s="146">
        <v>1</v>
      </c>
      <c r="J619" s="147">
        <f t="shared" si="53"/>
        <v>0</v>
      </c>
      <c r="K619" s="148">
        <f t="shared" si="54"/>
        <v>0</v>
      </c>
    </row>
    <row r="620" spans="2:11" ht="15">
      <c r="B620" s="144" t="s">
        <v>478</v>
      </c>
      <c r="C620" s="132" t="s">
        <v>447</v>
      </c>
      <c r="D620" s="132" t="s">
        <v>475</v>
      </c>
      <c r="E620" s="132">
        <v>0</v>
      </c>
      <c r="F620" s="145">
        <f>+H28</f>
        <v>0</v>
      </c>
      <c r="G620" s="175">
        <v>0.873</v>
      </c>
      <c r="H620" s="146">
        <f t="shared" si="52"/>
        <v>0</v>
      </c>
      <c r="I620" s="146">
        <v>0.7</v>
      </c>
      <c r="J620" s="147">
        <f t="shared" si="53"/>
        <v>0</v>
      </c>
      <c r="K620" s="148">
        <f t="shared" si="54"/>
        <v>0</v>
      </c>
    </row>
    <row r="621" spans="2:11" ht="15">
      <c r="B621" s="167" t="s">
        <v>470</v>
      </c>
      <c r="C621" s="168" t="s">
        <v>471</v>
      </c>
      <c r="D621" s="168" t="s">
        <v>450</v>
      </c>
      <c r="E621" s="168">
        <v>1</v>
      </c>
      <c r="F621" s="185">
        <f>+F534</f>
        <v>0</v>
      </c>
      <c r="G621" s="176">
        <v>0.798</v>
      </c>
      <c r="H621" s="170">
        <f t="shared" si="52"/>
        <v>0</v>
      </c>
      <c r="I621" s="168">
        <v>4</v>
      </c>
      <c r="J621" s="171">
        <f t="shared" si="53"/>
        <v>0</v>
      </c>
      <c r="K621" s="172">
        <f t="shared" si="54"/>
        <v>0</v>
      </c>
    </row>
    <row r="622" spans="2:11" ht="15">
      <c r="B622" s="144" t="s">
        <v>472</v>
      </c>
      <c r="C622" s="132" t="s">
        <v>471</v>
      </c>
      <c r="D622" s="132" t="s">
        <v>473</v>
      </c>
      <c r="E622" s="132">
        <v>1</v>
      </c>
      <c r="F622" s="185">
        <f aca="true" t="shared" si="55" ref="F622:F685">+F535</f>
        <v>0</v>
      </c>
      <c r="G622" s="175">
        <v>0.798</v>
      </c>
      <c r="H622" s="146">
        <f t="shared" si="52"/>
        <v>0</v>
      </c>
      <c r="I622" s="146">
        <v>2.7</v>
      </c>
      <c r="J622" s="147">
        <f t="shared" si="53"/>
        <v>0</v>
      </c>
      <c r="K622" s="148">
        <f t="shared" si="54"/>
        <v>0</v>
      </c>
    </row>
    <row r="623" spans="2:11" ht="15">
      <c r="B623" s="144" t="s">
        <v>474</v>
      </c>
      <c r="C623" s="132" t="s">
        <v>471</v>
      </c>
      <c r="D623" s="132" t="s">
        <v>475</v>
      </c>
      <c r="E623" s="132">
        <v>1</v>
      </c>
      <c r="F623" s="185">
        <f t="shared" si="55"/>
        <v>0</v>
      </c>
      <c r="G623" s="175">
        <v>0.798</v>
      </c>
      <c r="H623" s="146">
        <f t="shared" si="52"/>
        <v>0</v>
      </c>
      <c r="I623" s="146">
        <v>1.6</v>
      </c>
      <c r="J623" s="147">
        <f t="shared" si="53"/>
        <v>0</v>
      </c>
      <c r="K623" s="148">
        <f t="shared" si="54"/>
        <v>0</v>
      </c>
    </row>
    <row r="624" spans="2:11" ht="15">
      <c r="B624" s="144" t="s">
        <v>476</v>
      </c>
      <c r="C624" s="132" t="s">
        <v>447</v>
      </c>
      <c r="D624" s="132" t="s">
        <v>450</v>
      </c>
      <c r="E624" s="132">
        <v>1</v>
      </c>
      <c r="F624" s="185">
        <f t="shared" si="55"/>
        <v>0</v>
      </c>
      <c r="G624" s="175">
        <v>0.798</v>
      </c>
      <c r="H624" s="146">
        <f t="shared" si="52"/>
        <v>0</v>
      </c>
      <c r="I624" s="146">
        <v>2.2</v>
      </c>
      <c r="J624" s="147">
        <f t="shared" si="53"/>
        <v>0</v>
      </c>
      <c r="K624" s="148">
        <f t="shared" si="54"/>
        <v>0</v>
      </c>
    </row>
    <row r="625" spans="2:11" ht="15">
      <c r="B625" s="144" t="s">
        <v>477</v>
      </c>
      <c r="C625" s="132" t="s">
        <v>447</v>
      </c>
      <c r="D625" s="132" t="s">
        <v>473</v>
      </c>
      <c r="E625" s="132">
        <v>1</v>
      </c>
      <c r="F625" s="185">
        <f t="shared" si="55"/>
        <v>0</v>
      </c>
      <c r="G625" s="175">
        <v>0.798</v>
      </c>
      <c r="H625" s="146">
        <f t="shared" si="52"/>
        <v>0</v>
      </c>
      <c r="I625" s="146">
        <v>1.5</v>
      </c>
      <c r="J625" s="147">
        <f t="shared" si="53"/>
        <v>0</v>
      </c>
      <c r="K625" s="148">
        <f t="shared" si="54"/>
        <v>0</v>
      </c>
    </row>
    <row r="626" spans="2:11" ht="15">
      <c r="B626" s="144" t="s">
        <v>478</v>
      </c>
      <c r="C626" s="132" t="s">
        <v>447</v>
      </c>
      <c r="D626" s="132" t="s">
        <v>475</v>
      </c>
      <c r="E626" s="132">
        <v>1</v>
      </c>
      <c r="F626" s="185">
        <f t="shared" si="55"/>
        <v>0</v>
      </c>
      <c r="G626" s="175">
        <v>0.798</v>
      </c>
      <c r="H626" s="146">
        <f t="shared" si="52"/>
        <v>0</v>
      </c>
      <c r="I626" s="146">
        <v>0.9</v>
      </c>
      <c r="J626" s="147">
        <f t="shared" si="53"/>
        <v>0</v>
      </c>
      <c r="K626" s="148">
        <f t="shared" si="54"/>
        <v>0</v>
      </c>
    </row>
    <row r="627" spans="2:11" ht="15">
      <c r="B627" s="167" t="s">
        <v>470</v>
      </c>
      <c r="C627" s="168" t="s">
        <v>471</v>
      </c>
      <c r="D627" s="168" t="s">
        <v>450</v>
      </c>
      <c r="E627" s="168">
        <v>2</v>
      </c>
      <c r="F627" s="185">
        <f t="shared" si="55"/>
        <v>0</v>
      </c>
      <c r="G627" s="176">
        <v>0.736</v>
      </c>
      <c r="H627" s="170">
        <f t="shared" si="52"/>
        <v>0</v>
      </c>
      <c r="I627" s="168">
        <v>5.4</v>
      </c>
      <c r="J627" s="171">
        <f t="shared" si="53"/>
        <v>0</v>
      </c>
      <c r="K627" s="172">
        <f t="shared" si="54"/>
        <v>0</v>
      </c>
    </row>
    <row r="628" spans="2:11" ht="15">
      <c r="B628" s="144" t="s">
        <v>472</v>
      </c>
      <c r="C628" s="132" t="s">
        <v>471</v>
      </c>
      <c r="D628" s="132" t="s">
        <v>473</v>
      </c>
      <c r="E628" s="132">
        <v>2</v>
      </c>
      <c r="F628" s="185">
        <f t="shared" si="55"/>
        <v>0</v>
      </c>
      <c r="G628" s="175">
        <v>0.736</v>
      </c>
      <c r="H628" s="146">
        <f t="shared" si="52"/>
        <v>0</v>
      </c>
      <c r="I628" s="146">
        <v>3.5</v>
      </c>
      <c r="J628" s="147">
        <f t="shared" si="53"/>
        <v>0</v>
      </c>
      <c r="K628" s="148">
        <f t="shared" si="54"/>
        <v>0</v>
      </c>
    </row>
    <row r="629" spans="2:11" ht="15">
      <c r="B629" s="144" t="s">
        <v>474</v>
      </c>
      <c r="C629" s="132" t="s">
        <v>471</v>
      </c>
      <c r="D629" s="132" t="s">
        <v>475</v>
      </c>
      <c r="E629" s="132">
        <v>2</v>
      </c>
      <c r="F629" s="185">
        <f t="shared" si="55"/>
        <v>0</v>
      </c>
      <c r="G629" s="175">
        <v>0.736</v>
      </c>
      <c r="H629" s="146">
        <f t="shared" si="52"/>
        <v>0</v>
      </c>
      <c r="I629" s="146">
        <v>2</v>
      </c>
      <c r="J629" s="147">
        <f t="shared" si="53"/>
        <v>0</v>
      </c>
      <c r="K629" s="148">
        <f t="shared" si="54"/>
        <v>0</v>
      </c>
    </row>
    <row r="630" spans="2:11" ht="15">
      <c r="B630" s="144" t="s">
        <v>476</v>
      </c>
      <c r="C630" s="132" t="s">
        <v>447</v>
      </c>
      <c r="D630" s="132" t="s">
        <v>450</v>
      </c>
      <c r="E630" s="132">
        <v>2</v>
      </c>
      <c r="F630" s="185">
        <f t="shared" si="55"/>
        <v>0</v>
      </c>
      <c r="G630" s="175">
        <v>0.736</v>
      </c>
      <c r="H630" s="146">
        <f t="shared" si="52"/>
        <v>0</v>
      </c>
      <c r="I630" s="146">
        <v>3.1</v>
      </c>
      <c r="J630" s="147">
        <f t="shared" si="53"/>
        <v>0</v>
      </c>
      <c r="K630" s="148">
        <f t="shared" si="54"/>
        <v>0</v>
      </c>
    </row>
    <row r="631" spans="2:11" ht="15">
      <c r="B631" s="144" t="s">
        <v>477</v>
      </c>
      <c r="C631" s="132" t="s">
        <v>447</v>
      </c>
      <c r="D631" s="132" t="s">
        <v>473</v>
      </c>
      <c r="E631" s="132">
        <v>2</v>
      </c>
      <c r="F631" s="185">
        <f t="shared" si="55"/>
        <v>0</v>
      </c>
      <c r="G631" s="175">
        <v>0.736</v>
      </c>
      <c r="H631" s="146">
        <f t="shared" si="52"/>
        <v>0</v>
      </c>
      <c r="I631" s="146">
        <v>2</v>
      </c>
      <c r="J631" s="147">
        <f t="shared" si="53"/>
        <v>0</v>
      </c>
      <c r="K631" s="148">
        <f t="shared" si="54"/>
        <v>0</v>
      </c>
    </row>
    <row r="632" spans="2:11" ht="15">
      <c r="B632" s="144" t="s">
        <v>478</v>
      </c>
      <c r="C632" s="132" t="s">
        <v>447</v>
      </c>
      <c r="D632" s="132" t="s">
        <v>475</v>
      </c>
      <c r="E632" s="132">
        <v>2</v>
      </c>
      <c r="F632" s="185">
        <f t="shared" si="55"/>
        <v>0</v>
      </c>
      <c r="G632" s="175">
        <v>0.736</v>
      </c>
      <c r="H632" s="146">
        <f t="shared" si="52"/>
        <v>0</v>
      </c>
      <c r="I632" s="146">
        <v>1.1</v>
      </c>
      <c r="J632" s="147">
        <f t="shared" si="53"/>
        <v>0</v>
      </c>
      <c r="K632" s="148">
        <f t="shared" si="54"/>
        <v>0</v>
      </c>
    </row>
    <row r="633" spans="2:11" ht="15">
      <c r="B633" s="167" t="s">
        <v>470</v>
      </c>
      <c r="C633" s="168" t="s">
        <v>471</v>
      </c>
      <c r="D633" s="168" t="s">
        <v>450</v>
      </c>
      <c r="E633" s="168">
        <v>3</v>
      </c>
      <c r="F633" s="185">
        <f t="shared" si="55"/>
        <v>0</v>
      </c>
      <c r="G633" s="176">
        <v>0.706</v>
      </c>
      <c r="H633" s="170">
        <f t="shared" si="52"/>
        <v>0</v>
      </c>
      <c r="I633" s="168">
        <v>6.9</v>
      </c>
      <c r="J633" s="171">
        <f t="shared" si="53"/>
        <v>0</v>
      </c>
      <c r="K633" s="172">
        <f t="shared" si="54"/>
        <v>0</v>
      </c>
    </row>
    <row r="634" spans="2:11" ht="15">
      <c r="B634" s="144" t="s">
        <v>472</v>
      </c>
      <c r="C634" s="132" t="s">
        <v>471</v>
      </c>
      <c r="D634" s="132" t="s">
        <v>473</v>
      </c>
      <c r="E634" s="132">
        <v>3</v>
      </c>
      <c r="F634" s="185">
        <f t="shared" si="55"/>
        <v>0</v>
      </c>
      <c r="G634" s="175">
        <v>0.706</v>
      </c>
      <c r="H634" s="146">
        <f t="shared" si="52"/>
        <v>0</v>
      </c>
      <c r="I634" s="146">
        <v>4.3</v>
      </c>
      <c r="J634" s="147">
        <f t="shared" si="53"/>
        <v>0</v>
      </c>
      <c r="K634" s="148">
        <f t="shared" si="54"/>
        <v>0</v>
      </c>
    </row>
    <row r="635" spans="2:11" ht="15">
      <c r="B635" s="144" t="s">
        <v>474</v>
      </c>
      <c r="C635" s="132" t="s">
        <v>471</v>
      </c>
      <c r="D635" s="132" t="s">
        <v>475</v>
      </c>
      <c r="E635" s="132">
        <v>3</v>
      </c>
      <c r="F635" s="185">
        <f t="shared" si="55"/>
        <v>0</v>
      </c>
      <c r="G635" s="175">
        <v>0.706</v>
      </c>
      <c r="H635" s="146">
        <f t="shared" si="52"/>
        <v>0</v>
      </c>
      <c r="I635" s="146">
        <v>2.4</v>
      </c>
      <c r="J635" s="147">
        <f t="shared" si="53"/>
        <v>0</v>
      </c>
      <c r="K635" s="148">
        <f t="shared" si="54"/>
        <v>0</v>
      </c>
    </row>
    <row r="636" spans="2:11" ht="15">
      <c r="B636" s="144" t="s">
        <v>476</v>
      </c>
      <c r="C636" s="132" t="s">
        <v>447</v>
      </c>
      <c r="D636" s="132" t="s">
        <v>450</v>
      </c>
      <c r="E636" s="132">
        <v>3</v>
      </c>
      <c r="F636" s="185">
        <f t="shared" si="55"/>
        <v>0</v>
      </c>
      <c r="G636" s="175">
        <v>0.706</v>
      </c>
      <c r="H636" s="146">
        <f t="shared" si="52"/>
        <v>0</v>
      </c>
      <c r="I636" s="146">
        <v>4.1</v>
      </c>
      <c r="J636" s="147">
        <f t="shared" si="53"/>
        <v>0</v>
      </c>
      <c r="K636" s="148">
        <f t="shared" si="54"/>
        <v>0</v>
      </c>
    </row>
    <row r="637" spans="2:11" ht="15">
      <c r="B637" s="144" t="s">
        <v>477</v>
      </c>
      <c r="C637" s="132" t="s">
        <v>447</v>
      </c>
      <c r="D637" s="132" t="s">
        <v>473</v>
      </c>
      <c r="E637" s="132">
        <v>3</v>
      </c>
      <c r="F637" s="185">
        <f t="shared" si="55"/>
        <v>0</v>
      </c>
      <c r="G637" s="175">
        <v>0.706</v>
      </c>
      <c r="H637" s="146">
        <f t="shared" si="52"/>
        <v>0</v>
      </c>
      <c r="I637" s="146">
        <v>2.5</v>
      </c>
      <c r="J637" s="147">
        <f t="shared" si="53"/>
        <v>0</v>
      </c>
      <c r="K637" s="148">
        <f t="shared" si="54"/>
        <v>0</v>
      </c>
    </row>
    <row r="638" spans="2:11" ht="15">
      <c r="B638" s="144" t="s">
        <v>478</v>
      </c>
      <c r="C638" s="132" t="s">
        <v>447</v>
      </c>
      <c r="D638" s="132" t="s">
        <v>475</v>
      </c>
      <c r="E638" s="132">
        <v>3</v>
      </c>
      <c r="F638" s="185">
        <f t="shared" si="55"/>
        <v>0</v>
      </c>
      <c r="G638" s="175">
        <v>0.706</v>
      </c>
      <c r="H638" s="146">
        <f t="shared" si="52"/>
        <v>0</v>
      </c>
      <c r="I638" s="146">
        <v>1.4</v>
      </c>
      <c r="J638" s="147">
        <f t="shared" si="53"/>
        <v>0</v>
      </c>
      <c r="K638" s="148">
        <f t="shared" si="54"/>
        <v>0</v>
      </c>
    </row>
    <row r="639" spans="2:11" ht="15">
      <c r="B639" s="167" t="s">
        <v>470</v>
      </c>
      <c r="C639" s="168" t="s">
        <v>471</v>
      </c>
      <c r="D639" s="168" t="s">
        <v>450</v>
      </c>
      <c r="E639" s="168">
        <v>4</v>
      </c>
      <c r="F639" s="185">
        <f t="shared" si="55"/>
        <v>0</v>
      </c>
      <c r="G639" s="176">
        <v>0.678</v>
      </c>
      <c r="H639" s="170">
        <f t="shared" si="52"/>
        <v>0</v>
      </c>
      <c r="I639" s="168">
        <v>8.5</v>
      </c>
      <c r="J639" s="171">
        <f t="shared" si="53"/>
        <v>0</v>
      </c>
      <c r="K639" s="172">
        <f t="shared" si="54"/>
        <v>0</v>
      </c>
    </row>
    <row r="640" spans="2:11" ht="15">
      <c r="B640" s="144" t="s">
        <v>472</v>
      </c>
      <c r="C640" s="132" t="s">
        <v>471</v>
      </c>
      <c r="D640" s="132" t="s">
        <v>473</v>
      </c>
      <c r="E640" s="132">
        <v>4</v>
      </c>
      <c r="F640" s="185">
        <f t="shared" si="55"/>
        <v>0</v>
      </c>
      <c r="G640" s="175">
        <v>0.678</v>
      </c>
      <c r="H640" s="146">
        <f t="shared" si="52"/>
        <v>0</v>
      </c>
      <c r="I640" s="146">
        <v>5.2</v>
      </c>
      <c r="J640" s="147">
        <f t="shared" si="53"/>
        <v>0</v>
      </c>
      <c r="K640" s="148">
        <f t="shared" si="54"/>
        <v>0</v>
      </c>
    </row>
    <row r="641" spans="2:11" ht="15">
      <c r="B641" s="144" t="s">
        <v>474</v>
      </c>
      <c r="C641" s="132" t="s">
        <v>471</v>
      </c>
      <c r="D641" s="132" t="s">
        <v>475</v>
      </c>
      <c r="E641" s="132">
        <v>4</v>
      </c>
      <c r="F641" s="185">
        <f t="shared" si="55"/>
        <v>0</v>
      </c>
      <c r="G641" s="175">
        <v>0.678</v>
      </c>
      <c r="H641" s="146">
        <f t="shared" si="52"/>
        <v>0</v>
      </c>
      <c r="I641" s="146">
        <v>2.8</v>
      </c>
      <c r="J641" s="147">
        <f t="shared" si="53"/>
        <v>0</v>
      </c>
      <c r="K641" s="148">
        <f t="shared" si="54"/>
        <v>0</v>
      </c>
    </row>
    <row r="642" spans="2:11" ht="15">
      <c r="B642" s="144" t="s">
        <v>476</v>
      </c>
      <c r="C642" s="132" t="s">
        <v>447</v>
      </c>
      <c r="D642" s="132" t="s">
        <v>450</v>
      </c>
      <c r="E642" s="132">
        <v>4</v>
      </c>
      <c r="F642" s="185">
        <f t="shared" si="55"/>
        <v>0</v>
      </c>
      <c r="G642" s="175">
        <v>0.678</v>
      </c>
      <c r="H642" s="146">
        <f t="shared" si="52"/>
        <v>0</v>
      </c>
      <c r="I642" s="146">
        <v>5.2</v>
      </c>
      <c r="J642" s="147">
        <f t="shared" si="53"/>
        <v>0</v>
      </c>
      <c r="K642" s="148">
        <f t="shared" si="54"/>
        <v>0</v>
      </c>
    </row>
    <row r="643" spans="2:11" ht="15">
      <c r="B643" s="144" t="s">
        <v>477</v>
      </c>
      <c r="C643" s="132" t="s">
        <v>447</v>
      </c>
      <c r="D643" s="132" t="s">
        <v>473</v>
      </c>
      <c r="E643" s="132">
        <v>4</v>
      </c>
      <c r="F643" s="185">
        <f t="shared" si="55"/>
        <v>0</v>
      </c>
      <c r="G643" s="175">
        <v>0.678</v>
      </c>
      <c r="H643" s="146">
        <f t="shared" si="52"/>
        <v>0</v>
      </c>
      <c r="I643" s="146">
        <v>3.1</v>
      </c>
      <c r="J643" s="147">
        <f t="shared" si="53"/>
        <v>0</v>
      </c>
      <c r="K643" s="148">
        <f t="shared" si="54"/>
        <v>0</v>
      </c>
    </row>
    <row r="644" spans="2:11" ht="15">
      <c r="B644" s="144" t="s">
        <v>478</v>
      </c>
      <c r="C644" s="132" t="s">
        <v>447</v>
      </c>
      <c r="D644" s="132" t="s">
        <v>475</v>
      </c>
      <c r="E644" s="132">
        <v>4</v>
      </c>
      <c r="F644" s="185">
        <f t="shared" si="55"/>
        <v>0</v>
      </c>
      <c r="G644" s="175">
        <v>0.678</v>
      </c>
      <c r="H644" s="146">
        <f t="shared" si="52"/>
        <v>0</v>
      </c>
      <c r="I644" s="146">
        <v>1.6</v>
      </c>
      <c r="J644" s="147">
        <f t="shared" si="53"/>
        <v>0</v>
      </c>
      <c r="K644" s="148">
        <f t="shared" si="54"/>
        <v>0</v>
      </c>
    </row>
    <row r="645" spans="2:11" ht="15">
      <c r="B645" s="167" t="s">
        <v>470</v>
      </c>
      <c r="C645" s="168" t="s">
        <v>471</v>
      </c>
      <c r="D645" s="168" t="s">
        <v>450</v>
      </c>
      <c r="E645" s="168">
        <v>5</v>
      </c>
      <c r="F645" s="185">
        <f t="shared" si="55"/>
        <v>0</v>
      </c>
      <c r="G645" s="176">
        <v>0.658</v>
      </c>
      <c r="H645" s="170">
        <f t="shared" si="52"/>
        <v>0</v>
      </c>
      <c r="I645" s="168">
        <v>10.1</v>
      </c>
      <c r="J645" s="171">
        <f t="shared" si="53"/>
        <v>0</v>
      </c>
      <c r="K645" s="172">
        <f t="shared" si="54"/>
        <v>0</v>
      </c>
    </row>
    <row r="646" spans="2:11" ht="15">
      <c r="B646" s="144" t="s">
        <v>472</v>
      </c>
      <c r="C646" s="132" t="s">
        <v>471</v>
      </c>
      <c r="D646" s="132" t="s">
        <v>473</v>
      </c>
      <c r="E646" s="132">
        <v>5</v>
      </c>
      <c r="F646" s="185">
        <f t="shared" si="55"/>
        <v>0</v>
      </c>
      <c r="G646" s="175">
        <v>0.658</v>
      </c>
      <c r="H646" s="146">
        <f t="shared" si="52"/>
        <v>0</v>
      </c>
      <c r="I646" s="146">
        <v>6.1</v>
      </c>
      <c r="J646" s="147">
        <f t="shared" si="53"/>
        <v>0</v>
      </c>
      <c r="K646" s="148">
        <f t="shared" si="54"/>
        <v>0</v>
      </c>
    </row>
    <row r="647" spans="2:11" ht="15">
      <c r="B647" s="144" t="s">
        <v>474</v>
      </c>
      <c r="C647" s="132" t="s">
        <v>471</v>
      </c>
      <c r="D647" s="132" t="s">
        <v>475</v>
      </c>
      <c r="E647" s="132">
        <v>5</v>
      </c>
      <c r="F647" s="185">
        <f t="shared" si="55"/>
        <v>0</v>
      </c>
      <c r="G647" s="175">
        <v>0.658</v>
      </c>
      <c r="H647" s="146">
        <f t="shared" si="52"/>
        <v>0</v>
      </c>
      <c r="I647" s="146">
        <v>3.2</v>
      </c>
      <c r="J647" s="147">
        <f t="shared" si="53"/>
        <v>0</v>
      </c>
      <c r="K647" s="148">
        <f t="shared" si="54"/>
        <v>0</v>
      </c>
    </row>
    <row r="648" spans="2:11" ht="15">
      <c r="B648" s="144" t="s">
        <v>476</v>
      </c>
      <c r="C648" s="132" t="s">
        <v>447</v>
      </c>
      <c r="D648" s="132" t="s">
        <v>450</v>
      </c>
      <c r="E648" s="132">
        <v>5</v>
      </c>
      <c r="F648" s="185">
        <f t="shared" si="55"/>
        <v>0</v>
      </c>
      <c r="G648" s="175">
        <v>0.658</v>
      </c>
      <c r="H648" s="146">
        <f t="shared" si="52"/>
        <v>0</v>
      </c>
      <c r="I648" s="146">
        <v>6.4</v>
      </c>
      <c r="J648" s="147">
        <f t="shared" si="53"/>
        <v>0</v>
      </c>
      <c r="K648" s="148">
        <f t="shared" si="54"/>
        <v>0</v>
      </c>
    </row>
    <row r="649" spans="2:11" ht="15">
      <c r="B649" s="144" t="s">
        <v>477</v>
      </c>
      <c r="C649" s="132" t="s">
        <v>447</v>
      </c>
      <c r="D649" s="132" t="s">
        <v>473</v>
      </c>
      <c r="E649" s="132">
        <v>5</v>
      </c>
      <c r="F649" s="185">
        <f t="shared" si="55"/>
        <v>0</v>
      </c>
      <c r="G649" s="175">
        <v>0.658</v>
      </c>
      <c r="H649" s="146">
        <f t="shared" si="52"/>
        <v>0</v>
      </c>
      <c r="I649" s="146">
        <v>3.7</v>
      </c>
      <c r="J649" s="147">
        <f t="shared" si="53"/>
        <v>0</v>
      </c>
      <c r="K649" s="148">
        <f t="shared" si="54"/>
        <v>0</v>
      </c>
    </row>
    <row r="650" spans="2:11" ht="15">
      <c r="B650" s="144" t="s">
        <v>478</v>
      </c>
      <c r="C650" s="132" t="s">
        <v>447</v>
      </c>
      <c r="D650" s="132" t="s">
        <v>475</v>
      </c>
      <c r="E650" s="132">
        <v>5</v>
      </c>
      <c r="F650" s="185">
        <f t="shared" si="55"/>
        <v>0</v>
      </c>
      <c r="G650" s="175">
        <v>0.658</v>
      </c>
      <c r="H650" s="146">
        <f t="shared" si="52"/>
        <v>0</v>
      </c>
      <c r="I650" s="146">
        <v>1.9</v>
      </c>
      <c r="J650" s="147">
        <f t="shared" si="53"/>
        <v>0</v>
      </c>
      <c r="K650" s="148">
        <f t="shared" si="54"/>
        <v>0</v>
      </c>
    </row>
    <row r="651" spans="2:11" ht="15">
      <c r="B651" s="167" t="s">
        <v>470</v>
      </c>
      <c r="C651" s="168" t="s">
        <v>471</v>
      </c>
      <c r="D651" s="168" t="s">
        <v>450</v>
      </c>
      <c r="E651" s="168">
        <v>6</v>
      </c>
      <c r="F651" s="185">
        <f t="shared" si="55"/>
        <v>0</v>
      </c>
      <c r="G651" s="176">
        <v>0.644</v>
      </c>
      <c r="H651" s="170">
        <f t="shared" si="52"/>
        <v>0</v>
      </c>
      <c r="I651" s="168">
        <v>11.8</v>
      </c>
      <c r="J651" s="171">
        <f t="shared" si="53"/>
        <v>0</v>
      </c>
      <c r="K651" s="172">
        <f t="shared" si="54"/>
        <v>0</v>
      </c>
    </row>
    <row r="652" spans="2:11" ht="15">
      <c r="B652" s="144" t="s">
        <v>472</v>
      </c>
      <c r="C652" s="132" t="s">
        <v>471</v>
      </c>
      <c r="D652" s="132" t="s">
        <v>473</v>
      </c>
      <c r="E652" s="132">
        <v>6</v>
      </c>
      <c r="F652" s="185">
        <f t="shared" si="55"/>
        <v>0</v>
      </c>
      <c r="G652" s="175">
        <v>0.639</v>
      </c>
      <c r="H652" s="146">
        <f t="shared" si="52"/>
        <v>0</v>
      </c>
      <c r="I652" s="146">
        <v>7.1</v>
      </c>
      <c r="J652" s="147">
        <f t="shared" si="53"/>
        <v>0</v>
      </c>
      <c r="K652" s="148">
        <f t="shared" si="54"/>
        <v>0</v>
      </c>
    </row>
    <row r="653" spans="2:11" ht="15">
      <c r="B653" s="144" t="s">
        <v>474</v>
      </c>
      <c r="C653" s="132" t="s">
        <v>471</v>
      </c>
      <c r="D653" s="132" t="s">
        <v>475</v>
      </c>
      <c r="E653" s="132">
        <v>6</v>
      </c>
      <c r="F653" s="185">
        <f t="shared" si="55"/>
        <v>0</v>
      </c>
      <c r="G653" s="175">
        <v>0.639</v>
      </c>
      <c r="H653" s="146">
        <f t="shared" si="52"/>
        <v>0</v>
      </c>
      <c r="I653" s="146">
        <v>3.7</v>
      </c>
      <c r="J653" s="147">
        <f t="shared" si="53"/>
        <v>0</v>
      </c>
      <c r="K653" s="148">
        <f t="shared" si="54"/>
        <v>0</v>
      </c>
    </row>
    <row r="654" spans="2:11" ht="15">
      <c r="B654" s="144" t="s">
        <v>476</v>
      </c>
      <c r="C654" s="132" t="s">
        <v>447</v>
      </c>
      <c r="D654" s="132" t="s">
        <v>450</v>
      </c>
      <c r="E654" s="132">
        <v>6</v>
      </c>
      <c r="F654" s="185">
        <f t="shared" si="55"/>
        <v>0</v>
      </c>
      <c r="G654" s="175">
        <v>0.644</v>
      </c>
      <c r="H654" s="146">
        <f t="shared" si="52"/>
        <v>0</v>
      </c>
      <c r="I654" s="146">
        <v>7.6</v>
      </c>
      <c r="J654" s="147">
        <f t="shared" si="53"/>
        <v>0</v>
      </c>
      <c r="K654" s="148">
        <f t="shared" si="54"/>
        <v>0</v>
      </c>
    </row>
    <row r="655" spans="2:11" ht="15">
      <c r="B655" s="144" t="s">
        <v>477</v>
      </c>
      <c r="C655" s="132" t="s">
        <v>447</v>
      </c>
      <c r="D655" s="132" t="s">
        <v>473</v>
      </c>
      <c r="E655" s="132">
        <v>6</v>
      </c>
      <c r="F655" s="185">
        <f t="shared" si="55"/>
        <v>0</v>
      </c>
      <c r="G655" s="175">
        <v>0.639</v>
      </c>
      <c r="H655" s="146">
        <f t="shared" si="52"/>
        <v>0</v>
      </c>
      <c r="I655" s="146">
        <v>4.4</v>
      </c>
      <c r="J655" s="147">
        <f t="shared" si="53"/>
        <v>0</v>
      </c>
      <c r="K655" s="148">
        <f t="shared" si="54"/>
        <v>0</v>
      </c>
    </row>
    <row r="656" spans="2:11" ht="15">
      <c r="B656" s="144" t="s">
        <v>478</v>
      </c>
      <c r="C656" s="132" t="s">
        <v>447</v>
      </c>
      <c r="D656" s="132" t="s">
        <v>475</v>
      </c>
      <c r="E656" s="132">
        <v>6</v>
      </c>
      <c r="F656" s="185">
        <f t="shared" si="55"/>
        <v>0</v>
      </c>
      <c r="G656" s="175">
        <v>0.639</v>
      </c>
      <c r="H656" s="146">
        <f t="shared" si="52"/>
        <v>0</v>
      </c>
      <c r="I656" s="146">
        <v>2.2</v>
      </c>
      <c r="J656" s="147">
        <f t="shared" si="53"/>
        <v>0</v>
      </c>
      <c r="K656" s="148">
        <f t="shared" si="54"/>
        <v>0</v>
      </c>
    </row>
    <row r="657" spans="2:11" ht="15">
      <c r="B657" s="167" t="s">
        <v>470</v>
      </c>
      <c r="C657" s="168" t="s">
        <v>471</v>
      </c>
      <c r="D657" s="168" t="s">
        <v>450</v>
      </c>
      <c r="E657" s="168">
        <v>7</v>
      </c>
      <c r="F657" s="185">
        <f t="shared" si="55"/>
        <v>0</v>
      </c>
      <c r="G657" s="176">
        <v>0.63</v>
      </c>
      <c r="H657" s="170">
        <f t="shared" si="52"/>
        <v>0</v>
      </c>
      <c r="I657" s="168">
        <v>13.6</v>
      </c>
      <c r="J657" s="171">
        <f t="shared" si="53"/>
        <v>0</v>
      </c>
      <c r="K657" s="172">
        <f t="shared" si="54"/>
        <v>0</v>
      </c>
    </row>
    <row r="658" spans="2:11" ht="15">
      <c r="B658" s="144" t="s">
        <v>472</v>
      </c>
      <c r="C658" s="132" t="s">
        <v>471</v>
      </c>
      <c r="D658" s="132" t="s">
        <v>473</v>
      </c>
      <c r="E658" s="132">
        <v>7</v>
      </c>
      <c r="F658" s="185">
        <f t="shared" si="55"/>
        <v>0</v>
      </c>
      <c r="G658" s="175">
        <v>0.621</v>
      </c>
      <c r="H658" s="146">
        <f t="shared" si="52"/>
        <v>0</v>
      </c>
      <c r="I658" s="146">
        <v>8.1</v>
      </c>
      <c r="J658" s="147">
        <f t="shared" si="53"/>
        <v>0</v>
      </c>
      <c r="K658" s="148">
        <f t="shared" si="54"/>
        <v>0</v>
      </c>
    </row>
    <row r="659" spans="2:11" ht="15">
      <c r="B659" s="144" t="s">
        <v>474</v>
      </c>
      <c r="C659" s="132" t="s">
        <v>471</v>
      </c>
      <c r="D659" s="132" t="s">
        <v>475</v>
      </c>
      <c r="E659" s="132">
        <v>7</v>
      </c>
      <c r="F659" s="185">
        <f t="shared" si="55"/>
        <v>0</v>
      </c>
      <c r="G659" s="175">
        <v>0.621</v>
      </c>
      <c r="H659" s="146">
        <f t="shared" si="52"/>
        <v>0</v>
      </c>
      <c r="I659" s="146">
        <v>4.1</v>
      </c>
      <c r="J659" s="147">
        <f t="shared" si="53"/>
        <v>0</v>
      </c>
      <c r="K659" s="148">
        <f t="shared" si="54"/>
        <v>0</v>
      </c>
    </row>
    <row r="660" spans="2:11" ht="15">
      <c r="B660" s="144" t="s">
        <v>476</v>
      </c>
      <c r="C660" s="132" t="s">
        <v>447</v>
      </c>
      <c r="D660" s="132" t="s">
        <v>450</v>
      </c>
      <c r="E660" s="132">
        <v>7</v>
      </c>
      <c r="F660" s="185">
        <f t="shared" si="55"/>
        <v>0</v>
      </c>
      <c r="G660" s="175">
        <v>0.63</v>
      </c>
      <c r="H660" s="146">
        <f t="shared" si="52"/>
        <v>0</v>
      </c>
      <c r="I660" s="146">
        <v>8.9</v>
      </c>
      <c r="J660" s="147">
        <f t="shared" si="53"/>
        <v>0</v>
      </c>
      <c r="K660" s="148">
        <f t="shared" si="54"/>
        <v>0</v>
      </c>
    </row>
    <row r="661" spans="2:11" ht="15">
      <c r="B661" s="144" t="s">
        <v>477</v>
      </c>
      <c r="C661" s="132" t="s">
        <v>447</v>
      </c>
      <c r="D661" s="132" t="s">
        <v>473</v>
      </c>
      <c r="E661" s="132">
        <v>7</v>
      </c>
      <c r="F661" s="185">
        <f t="shared" si="55"/>
        <v>0</v>
      </c>
      <c r="G661" s="175">
        <v>0.621</v>
      </c>
      <c r="H661" s="146">
        <f t="shared" si="52"/>
        <v>0</v>
      </c>
      <c r="I661" s="146">
        <v>5.1</v>
      </c>
      <c r="J661" s="147">
        <f t="shared" si="53"/>
        <v>0</v>
      </c>
      <c r="K661" s="148">
        <f t="shared" si="54"/>
        <v>0</v>
      </c>
    </row>
    <row r="662" spans="2:11" ht="15">
      <c r="B662" s="144" t="s">
        <v>478</v>
      </c>
      <c r="C662" s="132" t="s">
        <v>447</v>
      </c>
      <c r="D662" s="132" t="s">
        <v>475</v>
      </c>
      <c r="E662" s="132">
        <v>7</v>
      </c>
      <c r="F662" s="185">
        <f t="shared" si="55"/>
        <v>0</v>
      </c>
      <c r="G662" s="175">
        <v>0.621</v>
      </c>
      <c r="H662" s="146">
        <f t="shared" si="52"/>
        <v>0</v>
      </c>
      <c r="I662" s="146">
        <v>2.5</v>
      </c>
      <c r="J662" s="147">
        <f t="shared" si="53"/>
        <v>0</v>
      </c>
      <c r="K662" s="148">
        <f t="shared" si="54"/>
        <v>0</v>
      </c>
    </row>
    <row r="663" spans="2:11" ht="15">
      <c r="B663" s="167" t="s">
        <v>470</v>
      </c>
      <c r="C663" s="168" t="s">
        <v>471</v>
      </c>
      <c r="D663" s="168" t="s">
        <v>450</v>
      </c>
      <c r="E663" s="168">
        <v>8</v>
      </c>
      <c r="F663" s="185">
        <f t="shared" si="55"/>
        <v>0</v>
      </c>
      <c r="G663" s="176">
        <v>0.616</v>
      </c>
      <c r="H663" s="170">
        <f t="shared" si="52"/>
        <v>0</v>
      </c>
      <c r="I663" s="168">
        <v>15.5</v>
      </c>
      <c r="J663" s="171">
        <f t="shared" si="53"/>
        <v>0</v>
      </c>
      <c r="K663" s="172">
        <f t="shared" si="54"/>
        <v>0</v>
      </c>
    </row>
    <row r="664" spans="2:11" ht="15">
      <c r="B664" s="144" t="s">
        <v>472</v>
      </c>
      <c r="C664" s="132" t="s">
        <v>471</v>
      </c>
      <c r="D664" s="132" t="s">
        <v>473</v>
      </c>
      <c r="E664" s="132">
        <v>8</v>
      </c>
      <c r="F664" s="185">
        <f t="shared" si="55"/>
        <v>0</v>
      </c>
      <c r="G664" s="175">
        <v>0.603</v>
      </c>
      <c r="H664" s="146">
        <f t="shared" si="52"/>
        <v>0</v>
      </c>
      <c r="I664" s="146">
        <v>9.1</v>
      </c>
      <c r="J664" s="147">
        <f t="shared" si="53"/>
        <v>0</v>
      </c>
      <c r="K664" s="148">
        <f t="shared" si="54"/>
        <v>0</v>
      </c>
    </row>
    <row r="665" spans="2:11" ht="15">
      <c r="B665" s="144" t="s">
        <v>474</v>
      </c>
      <c r="C665" s="132" t="s">
        <v>471</v>
      </c>
      <c r="D665" s="132" t="s">
        <v>475</v>
      </c>
      <c r="E665" s="132">
        <v>8</v>
      </c>
      <c r="F665" s="185">
        <f t="shared" si="55"/>
        <v>0</v>
      </c>
      <c r="G665" s="175">
        <v>0.603</v>
      </c>
      <c r="H665" s="146">
        <f t="shared" si="52"/>
        <v>0</v>
      </c>
      <c r="I665" s="146">
        <v>4.6</v>
      </c>
      <c r="J665" s="147">
        <f t="shared" si="53"/>
        <v>0</v>
      </c>
      <c r="K665" s="148">
        <f t="shared" si="54"/>
        <v>0</v>
      </c>
    </row>
    <row r="666" spans="2:11" ht="15">
      <c r="B666" s="144" t="s">
        <v>476</v>
      </c>
      <c r="C666" s="132" t="s">
        <v>447</v>
      </c>
      <c r="D666" s="132" t="s">
        <v>450</v>
      </c>
      <c r="E666" s="132">
        <v>8</v>
      </c>
      <c r="F666" s="185">
        <f t="shared" si="55"/>
        <v>0</v>
      </c>
      <c r="G666" s="175">
        <v>0.616</v>
      </c>
      <c r="H666" s="146">
        <f t="shared" si="52"/>
        <v>0</v>
      </c>
      <c r="I666" s="146">
        <v>10.2</v>
      </c>
      <c r="J666" s="147">
        <f t="shared" si="53"/>
        <v>0</v>
      </c>
      <c r="K666" s="148">
        <f t="shared" si="54"/>
        <v>0</v>
      </c>
    </row>
    <row r="667" spans="2:11" ht="15">
      <c r="B667" s="144" t="s">
        <v>477</v>
      </c>
      <c r="C667" s="132" t="s">
        <v>447</v>
      </c>
      <c r="D667" s="132" t="s">
        <v>473</v>
      </c>
      <c r="E667" s="132">
        <v>8</v>
      </c>
      <c r="F667" s="185">
        <f t="shared" si="55"/>
        <v>0</v>
      </c>
      <c r="G667" s="175">
        <v>0.603</v>
      </c>
      <c r="H667" s="146">
        <f t="shared" si="52"/>
        <v>0</v>
      </c>
      <c r="I667" s="146">
        <v>5.8</v>
      </c>
      <c r="J667" s="147">
        <f t="shared" si="53"/>
        <v>0</v>
      </c>
      <c r="K667" s="148">
        <f t="shared" si="54"/>
        <v>0</v>
      </c>
    </row>
    <row r="668" spans="2:11" ht="15">
      <c r="B668" s="144" t="s">
        <v>478</v>
      </c>
      <c r="C668" s="132" t="s">
        <v>447</v>
      </c>
      <c r="D668" s="132" t="s">
        <v>475</v>
      </c>
      <c r="E668" s="132">
        <v>8</v>
      </c>
      <c r="F668" s="185">
        <f t="shared" si="55"/>
        <v>0</v>
      </c>
      <c r="G668" s="175">
        <v>0.603</v>
      </c>
      <c r="H668" s="146">
        <f t="shared" si="52"/>
        <v>0</v>
      </c>
      <c r="I668" s="146">
        <v>2.8</v>
      </c>
      <c r="J668" s="147">
        <f t="shared" si="53"/>
        <v>0</v>
      </c>
      <c r="K668" s="148">
        <f t="shared" si="54"/>
        <v>0</v>
      </c>
    </row>
    <row r="669" spans="2:11" ht="15">
      <c r="B669" s="167" t="s">
        <v>470</v>
      </c>
      <c r="C669" s="168" t="s">
        <v>471</v>
      </c>
      <c r="D669" s="168" t="s">
        <v>450</v>
      </c>
      <c r="E669" s="168">
        <v>9</v>
      </c>
      <c r="F669" s="185">
        <f t="shared" si="55"/>
        <v>0</v>
      </c>
      <c r="G669" s="176">
        <v>0.602</v>
      </c>
      <c r="H669" s="170">
        <f t="shared" si="52"/>
        <v>0</v>
      </c>
      <c r="I669" s="168">
        <v>17.4</v>
      </c>
      <c r="J669" s="171">
        <f t="shared" si="53"/>
        <v>0</v>
      </c>
      <c r="K669" s="172">
        <f t="shared" si="54"/>
        <v>0</v>
      </c>
    </row>
    <row r="670" spans="2:11" ht="15">
      <c r="B670" s="144" t="s">
        <v>472</v>
      </c>
      <c r="C670" s="132" t="s">
        <v>471</v>
      </c>
      <c r="D670" s="132" t="s">
        <v>473</v>
      </c>
      <c r="E670" s="132">
        <v>9</v>
      </c>
      <c r="F670" s="185">
        <f t="shared" si="55"/>
        <v>0</v>
      </c>
      <c r="G670" s="175">
        <v>0.589</v>
      </c>
      <c r="H670" s="146">
        <f t="shared" si="52"/>
        <v>0</v>
      </c>
      <c r="I670" s="146">
        <v>10.2</v>
      </c>
      <c r="J670" s="147">
        <f t="shared" si="53"/>
        <v>0</v>
      </c>
      <c r="K670" s="148">
        <f t="shared" si="54"/>
        <v>0</v>
      </c>
    </row>
    <row r="671" spans="2:11" ht="15">
      <c r="B671" s="144" t="s">
        <v>474</v>
      </c>
      <c r="C671" s="132" t="s">
        <v>471</v>
      </c>
      <c r="D671" s="132" t="s">
        <v>475</v>
      </c>
      <c r="E671" s="132">
        <v>9</v>
      </c>
      <c r="F671" s="185">
        <f t="shared" si="55"/>
        <v>0</v>
      </c>
      <c r="G671" s="175">
        <v>0.585</v>
      </c>
      <c r="H671" s="146">
        <f t="shared" si="52"/>
        <v>0</v>
      </c>
      <c r="I671" s="146">
        <v>5</v>
      </c>
      <c r="J671" s="147">
        <f t="shared" si="53"/>
        <v>0</v>
      </c>
      <c r="K671" s="148">
        <f t="shared" si="54"/>
        <v>0</v>
      </c>
    </row>
    <row r="672" spans="2:11" ht="15">
      <c r="B672" s="144" t="s">
        <v>476</v>
      </c>
      <c r="C672" s="132" t="s">
        <v>447</v>
      </c>
      <c r="D672" s="132" t="s">
        <v>450</v>
      </c>
      <c r="E672" s="132">
        <v>9</v>
      </c>
      <c r="F672" s="185">
        <f t="shared" si="55"/>
        <v>0</v>
      </c>
      <c r="G672" s="175">
        <v>0.602</v>
      </c>
      <c r="H672" s="146">
        <f t="shared" si="52"/>
        <v>0</v>
      </c>
      <c r="I672" s="146">
        <v>11.7</v>
      </c>
      <c r="J672" s="147">
        <f t="shared" si="53"/>
        <v>0</v>
      </c>
      <c r="K672" s="148">
        <f t="shared" si="54"/>
        <v>0</v>
      </c>
    </row>
    <row r="673" spans="2:11" ht="15">
      <c r="B673" s="144" t="s">
        <v>477</v>
      </c>
      <c r="C673" s="132" t="s">
        <v>447</v>
      </c>
      <c r="D673" s="132" t="s">
        <v>473</v>
      </c>
      <c r="E673" s="132">
        <v>9</v>
      </c>
      <c r="F673" s="185">
        <f t="shared" si="55"/>
        <v>0</v>
      </c>
      <c r="G673" s="175">
        <v>0.589</v>
      </c>
      <c r="H673" s="146">
        <f t="shared" si="52"/>
        <v>0</v>
      </c>
      <c r="I673" s="146">
        <v>6.6</v>
      </c>
      <c r="J673" s="147">
        <f t="shared" si="53"/>
        <v>0</v>
      </c>
      <c r="K673" s="148">
        <f t="shared" si="54"/>
        <v>0</v>
      </c>
    </row>
    <row r="674" spans="2:11" ht="15">
      <c r="B674" s="144" t="s">
        <v>478</v>
      </c>
      <c r="C674" s="132" t="s">
        <v>447</v>
      </c>
      <c r="D674" s="132" t="s">
        <v>475</v>
      </c>
      <c r="E674" s="132">
        <v>9</v>
      </c>
      <c r="F674" s="185">
        <f t="shared" si="55"/>
        <v>0</v>
      </c>
      <c r="G674" s="175">
        <v>0.585</v>
      </c>
      <c r="H674" s="146">
        <f t="shared" si="52"/>
        <v>0</v>
      </c>
      <c r="I674" s="146">
        <v>3.1</v>
      </c>
      <c r="J674" s="147">
        <f t="shared" si="53"/>
        <v>0</v>
      </c>
      <c r="K674" s="148">
        <f t="shared" si="54"/>
        <v>0</v>
      </c>
    </row>
    <row r="675" spans="2:11" ht="15">
      <c r="B675" s="167" t="s">
        <v>470</v>
      </c>
      <c r="C675" s="168" t="s">
        <v>471</v>
      </c>
      <c r="D675" s="168" t="s">
        <v>450</v>
      </c>
      <c r="E675" s="168">
        <v>10</v>
      </c>
      <c r="F675" s="185">
        <f t="shared" si="55"/>
        <v>0</v>
      </c>
      <c r="G675" s="176">
        <v>0.589</v>
      </c>
      <c r="H675" s="170">
        <f t="shared" si="52"/>
        <v>0</v>
      </c>
      <c r="I675" s="168">
        <v>19.3</v>
      </c>
      <c r="J675" s="171">
        <f t="shared" si="53"/>
        <v>0</v>
      </c>
      <c r="K675" s="172">
        <f t="shared" si="54"/>
        <v>0</v>
      </c>
    </row>
    <row r="676" spans="2:11" ht="15">
      <c r="B676" s="144" t="s">
        <v>472</v>
      </c>
      <c r="C676" s="132" t="s">
        <v>471</v>
      </c>
      <c r="D676" s="132" t="s">
        <v>473</v>
      </c>
      <c r="E676" s="132">
        <v>10</v>
      </c>
      <c r="F676" s="185">
        <f t="shared" si="55"/>
        <v>0</v>
      </c>
      <c r="G676" s="175">
        <v>0.576</v>
      </c>
      <c r="H676" s="146">
        <f t="shared" si="52"/>
        <v>0</v>
      </c>
      <c r="I676" s="146">
        <v>11.2</v>
      </c>
      <c r="J676" s="147">
        <f t="shared" si="53"/>
        <v>0</v>
      </c>
      <c r="K676" s="148">
        <f t="shared" si="54"/>
        <v>0</v>
      </c>
    </row>
    <row r="677" spans="2:11" ht="15">
      <c r="B677" s="144" t="s">
        <v>474</v>
      </c>
      <c r="C677" s="132" t="s">
        <v>471</v>
      </c>
      <c r="D677" s="132" t="s">
        <v>475</v>
      </c>
      <c r="E677" s="132">
        <v>10</v>
      </c>
      <c r="F677" s="185">
        <f t="shared" si="55"/>
        <v>0</v>
      </c>
      <c r="G677" s="175">
        <v>0.568</v>
      </c>
      <c r="H677" s="146">
        <f t="shared" si="52"/>
        <v>0</v>
      </c>
      <c r="I677" s="146">
        <v>5.5</v>
      </c>
      <c r="J677" s="147">
        <f t="shared" si="53"/>
        <v>0</v>
      </c>
      <c r="K677" s="148">
        <f t="shared" si="54"/>
        <v>0</v>
      </c>
    </row>
    <row r="678" spans="2:11" ht="15">
      <c r="B678" s="144" t="s">
        <v>476</v>
      </c>
      <c r="C678" s="132" t="s">
        <v>447</v>
      </c>
      <c r="D678" s="132" t="s">
        <v>450</v>
      </c>
      <c r="E678" s="132">
        <v>10</v>
      </c>
      <c r="F678" s="185">
        <f t="shared" si="55"/>
        <v>0</v>
      </c>
      <c r="G678" s="175">
        <v>0.589</v>
      </c>
      <c r="H678" s="146">
        <f t="shared" si="52"/>
        <v>0</v>
      </c>
      <c r="I678" s="146">
        <v>13.2</v>
      </c>
      <c r="J678" s="147">
        <f t="shared" si="53"/>
        <v>0</v>
      </c>
      <c r="K678" s="148">
        <f t="shared" si="54"/>
        <v>0</v>
      </c>
    </row>
    <row r="679" spans="2:11" ht="15">
      <c r="B679" s="144" t="s">
        <v>477</v>
      </c>
      <c r="C679" s="132" t="s">
        <v>447</v>
      </c>
      <c r="D679" s="132" t="s">
        <v>473</v>
      </c>
      <c r="E679" s="132">
        <v>10</v>
      </c>
      <c r="F679" s="185">
        <f t="shared" si="55"/>
        <v>0</v>
      </c>
      <c r="G679" s="175">
        <v>0.576</v>
      </c>
      <c r="H679" s="146">
        <f aca="true" t="shared" si="56" ref="H679:H692">F679*G679</f>
        <v>0</v>
      </c>
      <c r="I679" s="146">
        <v>7.4</v>
      </c>
      <c r="J679" s="147">
        <f aca="true" t="shared" si="57" ref="J679:J692">H679*I679</f>
        <v>0</v>
      </c>
      <c r="K679" s="148">
        <f aca="true" t="shared" si="58" ref="K679:K693">J679/2000</f>
        <v>0</v>
      </c>
    </row>
    <row r="680" spans="2:11" ht="15">
      <c r="B680" s="144" t="s">
        <v>478</v>
      </c>
      <c r="C680" s="132" t="s">
        <v>447</v>
      </c>
      <c r="D680" s="132" t="s">
        <v>475</v>
      </c>
      <c r="E680" s="132">
        <v>10</v>
      </c>
      <c r="F680" s="185">
        <f t="shared" si="55"/>
        <v>0</v>
      </c>
      <c r="G680" s="175">
        <v>0.568</v>
      </c>
      <c r="H680" s="146">
        <f t="shared" si="56"/>
        <v>0</v>
      </c>
      <c r="I680" s="146">
        <v>3.5</v>
      </c>
      <c r="J680" s="147">
        <f t="shared" si="57"/>
        <v>0</v>
      </c>
      <c r="K680" s="148">
        <f t="shared" si="58"/>
        <v>0</v>
      </c>
    </row>
    <row r="681" spans="2:11" ht="15">
      <c r="B681" s="167" t="s">
        <v>470</v>
      </c>
      <c r="C681" s="168" t="s">
        <v>471</v>
      </c>
      <c r="D681" s="168" t="s">
        <v>450</v>
      </c>
      <c r="E681" s="168">
        <v>11</v>
      </c>
      <c r="F681" s="185">
        <f t="shared" si="55"/>
        <v>0</v>
      </c>
      <c r="G681" s="176">
        <v>0.576</v>
      </c>
      <c r="H681" s="170">
        <f t="shared" si="56"/>
        <v>0</v>
      </c>
      <c r="I681" s="168">
        <v>21.3</v>
      </c>
      <c r="J681" s="171">
        <f t="shared" si="57"/>
        <v>0</v>
      </c>
      <c r="K681" s="172">
        <f t="shared" si="58"/>
        <v>0</v>
      </c>
    </row>
    <row r="682" spans="2:11" ht="15">
      <c r="B682" s="144" t="s">
        <v>472</v>
      </c>
      <c r="C682" s="132" t="s">
        <v>471</v>
      </c>
      <c r="D682" s="132" t="s">
        <v>473</v>
      </c>
      <c r="E682" s="132">
        <v>11</v>
      </c>
      <c r="F682" s="185">
        <f t="shared" si="55"/>
        <v>0</v>
      </c>
      <c r="G682" s="175">
        <v>0.564</v>
      </c>
      <c r="H682" s="146">
        <f t="shared" si="56"/>
        <v>0</v>
      </c>
      <c r="I682" s="146">
        <v>12.3</v>
      </c>
      <c r="J682" s="147">
        <f t="shared" si="57"/>
        <v>0</v>
      </c>
      <c r="K682" s="148">
        <f t="shared" si="58"/>
        <v>0</v>
      </c>
    </row>
    <row r="683" spans="2:11" ht="15">
      <c r="B683" s="144" t="s">
        <v>474</v>
      </c>
      <c r="C683" s="132" t="s">
        <v>471</v>
      </c>
      <c r="D683" s="132" t="s">
        <v>475</v>
      </c>
      <c r="E683" s="132">
        <v>11</v>
      </c>
      <c r="F683" s="185">
        <f t="shared" si="55"/>
        <v>0</v>
      </c>
      <c r="G683" s="175">
        <v>0.552</v>
      </c>
      <c r="H683" s="146">
        <f t="shared" si="56"/>
        <v>0</v>
      </c>
      <c r="I683" s="146">
        <v>6</v>
      </c>
      <c r="J683" s="147">
        <f t="shared" si="57"/>
        <v>0</v>
      </c>
      <c r="K683" s="148">
        <f t="shared" si="58"/>
        <v>0</v>
      </c>
    </row>
    <row r="684" spans="2:11" ht="15">
      <c r="B684" s="144" t="s">
        <v>476</v>
      </c>
      <c r="C684" s="132" t="s">
        <v>447</v>
      </c>
      <c r="D684" s="132" t="s">
        <v>450</v>
      </c>
      <c r="E684" s="132">
        <v>11</v>
      </c>
      <c r="F684" s="185">
        <f t="shared" si="55"/>
        <v>0</v>
      </c>
      <c r="G684" s="175">
        <v>0.576</v>
      </c>
      <c r="H684" s="146">
        <f t="shared" si="56"/>
        <v>0</v>
      </c>
      <c r="I684" s="146">
        <v>14.7</v>
      </c>
      <c r="J684" s="147">
        <f t="shared" si="57"/>
        <v>0</v>
      </c>
      <c r="K684" s="148">
        <f t="shared" si="58"/>
        <v>0</v>
      </c>
    </row>
    <row r="685" spans="2:11" ht="15">
      <c r="B685" s="144" t="s">
        <v>477</v>
      </c>
      <c r="C685" s="132" t="s">
        <v>447</v>
      </c>
      <c r="D685" s="132" t="s">
        <v>473</v>
      </c>
      <c r="E685" s="132">
        <v>11</v>
      </c>
      <c r="F685" s="185">
        <f t="shared" si="55"/>
        <v>0</v>
      </c>
      <c r="G685" s="175">
        <v>0.564</v>
      </c>
      <c r="H685" s="146">
        <f t="shared" si="56"/>
        <v>0</v>
      </c>
      <c r="I685" s="146">
        <v>8.2</v>
      </c>
      <c r="J685" s="147">
        <f t="shared" si="57"/>
        <v>0</v>
      </c>
      <c r="K685" s="148">
        <f t="shared" si="58"/>
        <v>0</v>
      </c>
    </row>
    <row r="686" spans="2:11" ht="15">
      <c r="B686" s="144" t="s">
        <v>478</v>
      </c>
      <c r="C686" s="132" t="s">
        <v>447</v>
      </c>
      <c r="D686" s="132" t="s">
        <v>475</v>
      </c>
      <c r="E686" s="132">
        <v>11</v>
      </c>
      <c r="F686" s="185">
        <f aca="true" t="shared" si="59" ref="F686:F692">+F599</f>
        <v>0</v>
      </c>
      <c r="G686" s="175">
        <v>0.552</v>
      </c>
      <c r="H686" s="146">
        <f t="shared" si="56"/>
        <v>0</v>
      </c>
      <c r="I686" s="146">
        <v>3.8</v>
      </c>
      <c r="J686" s="147">
        <f t="shared" si="57"/>
        <v>0</v>
      </c>
      <c r="K686" s="148">
        <f t="shared" si="58"/>
        <v>0</v>
      </c>
    </row>
    <row r="687" spans="2:11" ht="15">
      <c r="B687" s="167" t="s">
        <v>470</v>
      </c>
      <c r="C687" s="168" t="s">
        <v>471</v>
      </c>
      <c r="D687" s="168" t="s">
        <v>450</v>
      </c>
      <c r="E687" s="168">
        <v>12</v>
      </c>
      <c r="F687" s="185">
        <f t="shared" si="59"/>
        <v>0</v>
      </c>
      <c r="G687" s="176">
        <v>0.563</v>
      </c>
      <c r="H687" s="170">
        <f t="shared" si="56"/>
        <v>0</v>
      </c>
      <c r="I687" s="168">
        <v>23.3</v>
      </c>
      <c r="J687" s="171">
        <f t="shared" si="57"/>
        <v>0</v>
      </c>
      <c r="K687" s="172">
        <f t="shared" si="58"/>
        <v>0</v>
      </c>
    </row>
    <row r="688" spans="2:11" ht="15">
      <c r="B688" s="144" t="s">
        <v>472</v>
      </c>
      <c r="C688" s="132" t="s">
        <v>471</v>
      </c>
      <c r="D688" s="132" t="s">
        <v>473</v>
      </c>
      <c r="E688" s="132">
        <v>12</v>
      </c>
      <c r="F688" s="185">
        <f t="shared" si="59"/>
        <v>0</v>
      </c>
      <c r="G688" s="175">
        <v>0.551</v>
      </c>
      <c r="H688" s="146">
        <f t="shared" si="56"/>
        <v>0</v>
      </c>
      <c r="I688" s="146">
        <v>13.5</v>
      </c>
      <c r="J688" s="147">
        <f t="shared" si="57"/>
        <v>0</v>
      </c>
      <c r="K688" s="148">
        <f t="shared" si="58"/>
        <v>0</v>
      </c>
    </row>
    <row r="689" spans="2:11" ht="15">
      <c r="B689" s="144" t="s">
        <v>474</v>
      </c>
      <c r="C689" s="132" t="s">
        <v>471</v>
      </c>
      <c r="D689" s="132" t="s">
        <v>475</v>
      </c>
      <c r="E689" s="132">
        <v>12</v>
      </c>
      <c r="F689" s="185">
        <f t="shared" si="59"/>
        <v>0</v>
      </c>
      <c r="G689" s="175">
        <v>0.536</v>
      </c>
      <c r="H689" s="146">
        <f t="shared" si="56"/>
        <v>0</v>
      </c>
      <c r="I689" s="146">
        <v>6.5</v>
      </c>
      <c r="J689" s="147">
        <f t="shared" si="57"/>
        <v>0</v>
      </c>
      <c r="K689" s="148">
        <f t="shared" si="58"/>
        <v>0</v>
      </c>
    </row>
    <row r="690" spans="2:11" ht="15">
      <c r="B690" s="144" t="s">
        <v>476</v>
      </c>
      <c r="C690" s="132" t="s">
        <v>447</v>
      </c>
      <c r="D690" s="132" t="s">
        <v>450</v>
      </c>
      <c r="E690" s="132">
        <v>12</v>
      </c>
      <c r="F690" s="185">
        <f t="shared" si="59"/>
        <v>0</v>
      </c>
      <c r="G690" s="175">
        <v>0.563</v>
      </c>
      <c r="H690" s="146">
        <f t="shared" si="56"/>
        <v>0</v>
      </c>
      <c r="I690" s="146">
        <v>16.3</v>
      </c>
      <c r="J690" s="147">
        <f t="shared" si="57"/>
        <v>0</v>
      </c>
      <c r="K690" s="148">
        <f t="shared" si="58"/>
        <v>0</v>
      </c>
    </row>
    <row r="691" spans="2:11" ht="15">
      <c r="B691" s="144" t="s">
        <v>477</v>
      </c>
      <c r="C691" s="132" t="s">
        <v>447</v>
      </c>
      <c r="D691" s="132" t="s">
        <v>473</v>
      </c>
      <c r="E691" s="132">
        <v>12</v>
      </c>
      <c r="F691" s="185">
        <f t="shared" si="59"/>
        <v>0</v>
      </c>
      <c r="G691" s="175">
        <v>0.551</v>
      </c>
      <c r="H691" s="146">
        <f t="shared" si="56"/>
        <v>0</v>
      </c>
      <c r="I691" s="146">
        <v>9.1</v>
      </c>
      <c r="J691" s="147">
        <f t="shared" si="57"/>
        <v>0</v>
      </c>
      <c r="K691" s="148">
        <f t="shared" si="58"/>
        <v>0</v>
      </c>
    </row>
    <row r="692" spans="2:11" ht="15.75" thickBot="1">
      <c r="B692" s="144" t="s">
        <v>478</v>
      </c>
      <c r="C692" s="132" t="s">
        <v>447</v>
      </c>
      <c r="D692" s="132" t="s">
        <v>475</v>
      </c>
      <c r="E692" s="132">
        <v>12</v>
      </c>
      <c r="F692" s="185">
        <f t="shared" si="59"/>
        <v>0</v>
      </c>
      <c r="G692" s="175">
        <v>0.536</v>
      </c>
      <c r="H692" s="146">
        <f t="shared" si="56"/>
        <v>0</v>
      </c>
      <c r="I692" s="146">
        <v>4.2</v>
      </c>
      <c r="J692" s="147">
        <f t="shared" si="57"/>
        <v>0</v>
      </c>
      <c r="K692" s="148">
        <f t="shared" si="58"/>
        <v>0</v>
      </c>
    </row>
    <row r="693" spans="2:11" ht="15.75" thickTop="1">
      <c r="B693" s="149"/>
      <c r="C693" s="150"/>
      <c r="D693" s="150"/>
      <c r="E693" s="150"/>
      <c r="F693" s="150"/>
      <c r="G693" s="177"/>
      <c r="H693" s="150"/>
      <c r="I693" s="151" t="s">
        <v>479</v>
      </c>
      <c r="J693" s="152">
        <f>SUM(J615:J692)</f>
        <v>0</v>
      </c>
      <c r="K693" s="143">
        <f t="shared" si="58"/>
        <v>0</v>
      </c>
    </row>
    <row r="694" spans="2:11" ht="15">
      <c r="B694" s="153"/>
      <c r="C694" s="154"/>
      <c r="D694" s="154"/>
      <c r="E694" s="154"/>
      <c r="F694" s="154"/>
      <c r="G694" s="178"/>
      <c r="H694" s="155"/>
      <c r="I694" s="156"/>
      <c r="J694" s="157"/>
      <c r="K694" s="148"/>
    </row>
    <row r="695" spans="2:11" ht="15.75" thickBot="1">
      <c r="B695" s="158"/>
      <c r="C695" s="159"/>
      <c r="D695" s="159"/>
      <c r="E695" s="159"/>
      <c r="F695" s="159"/>
      <c r="G695" s="179"/>
      <c r="H695" s="160"/>
      <c r="I695" s="161" t="s">
        <v>480</v>
      </c>
      <c r="J695" s="162">
        <f>J693*(44/12)</f>
        <v>0</v>
      </c>
      <c r="K695" s="163">
        <f>J695/2000</f>
        <v>0</v>
      </c>
    </row>
    <row r="696" ht="15.75" thickTop="1"/>
    <row r="697" spans="2:11" ht="15.75" thickBot="1">
      <c r="B697" s="217" t="s">
        <v>493</v>
      </c>
      <c r="C697" s="217"/>
      <c r="D697" s="217"/>
      <c r="E697" s="217"/>
      <c r="F697" s="217"/>
      <c r="G697" s="217"/>
      <c r="H697"/>
      <c r="I697"/>
      <c r="J697"/>
      <c r="K697"/>
    </row>
    <row r="698" spans="2:11" ht="15.75" thickBot="1">
      <c r="B698"/>
      <c r="C698"/>
      <c r="D698"/>
      <c r="E698"/>
      <c r="F698"/>
      <c r="G698"/>
      <c r="H698"/>
      <c r="I698"/>
      <c r="J698"/>
      <c r="K698"/>
    </row>
    <row r="699" spans="2:11" ht="15.75" thickTop="1">
      <c r="B699" s="127" t="s">
        <v>445</v>
      </c>
      <c r="C699" s="128"/>
      <c r="D699" s="128"/>
      <c r="E699" s="129" t="s">
        <v>446</v>
      </c>
      <c r="F699" s="129" t="s">
        <v>447</v>
      </c>
      <c r="G699" s="174" t="s">
        <v>448</v>
      </c>
      <c r="H699" s="129" t="s">
        <v>449</v>
      </c>
      <c r="I699" s="129" t="s">
        <v>450</v>
      </c>
      <c r="J699" s="128" t="s">
        <v>451</v>
      </c>
      <c r="K699" s="173"/>
    </row>
    <row r="700" spans="2:11" ht="15">
      <c r="B700" s="130" t="s">
        <v>452</v>
      </c>
      <c r="C700" s="131" t="s">
        <v>453</v>
      </c>
      <c r="D700" s="131" t="s">
        <v>454</v>
      </c>
      <c r="E700" s="132" t="s">
        <v>455</v>
      </c>
      <c r="F700" s="132" t="s">
        <v>456</v>
      </c>
      <c r="G700" s="175" t="s">
        <v>457</v>
      </c>
      <c r="H700" s="132" t="s">
        <v>458</v>
      </c>
      <c r="I700" s="132" t="s">
        <v>459</v>
      </c>
      <c r="J700" s="133" t="s">
        <v>460</v>
      </c>
      <c r="K700" s="134"/>
    </row>
    <row r="701" spans="2:11" ht="15.75" thickBot="1">
      <c r="B701" s="180"/>
      <c r="C701" s="181" t="s">
        <v>461</v>
      </c>
      <c r="D701" s="181" t="s">
        <v>462</v>
      </c>
      <c r="E701" s="181" t="s">
        <v>463</v>
      </c>
      <c r="F701" s="181" t="s">
        <v>464</v>
      </c>
      <c r="G701" s="182" t="s">
        <v>465</v>
      </c>
      <c r="H701" s="183" t="s">
        <v>466</v>
      </c>
      <c r="I701" s="183" t="s">
        <v>467</v>
      </c>
      <c r="J701" s="137" t="s">
        <v>468</v>
      </c>
      <c r="K701" s="138" t="s">
        <v>469</v>
      </c>
    </row>
    <row r="702" spans="2:11" ht="15.75" thickTop="1">
      <c r="B702" s="167" t="s">
        <v>470</v>
      </c>
      <c r="C702" s="168" t="s">
        <v>471</v>
      </c>
      <c r="D702" s="168" t="s">
        <v>450</v>
      </c>
      <c r="E702" s="168">
        <v>0</v>
      </c>
      <c r="F702" s="185">
        <f>+C29</f>
        <v>0</v>
      </c>
      <c r="G702" s="176">
        <v>0.873</v>
      </c>
      <c r="H702" s="170">
        <f aca="true" t="shared" si="60" ref="H702:H765">F702*G702</f>
        <v>0</v>
      </c>
      <c r="I702" s="168">
        <v>2.7</v>
      </c>
      <c r="J702" s="171">
        <f aca="true" t="shared" si="61" ref="J702:J765">H702*I702</f>
        <v>0</v>
      </c>
      <c r="K702" s="172">
        <f aca="true" t="shared" si="62" ref="K702:K765">J702/2000</f>
        <v>0</v>
      </c>
    </row>
    <row r="703" spans="2:11" ht="15">
      <c r="B703" s="144" t="s">
        <v>472</v>
      </c>
      <c r="C703" s="132" t="s">
        <v>471</v>
      </c>
      <c r="D703" s="132" t="s">
        <v>473</v>
      </c>
      <c r="E703" s="132">
        <v>0</v>
      </c>
      <c r="F703" s="145">
        <f>+D29</f>
        <v>0</v>
      </c>
      <c r="G703" s="175">
        <v>0.873</v>
      </c>
      <c r="H703" s="146">
        <f t="shared" si="60"/>
        <v>0</v>
      </c>
      <c r="I703" s="146">
        <v>1.9</v>
      </c>
      <c r="J703" s="147">
        <f t="shared" si="61"/>
        <v>0</v>
      </c>
      <c r="K703" s="148">
        <f t="shared" si="62"/>
        <v>0</v>
      </c>
    </row>
    <row r="704" spans="2:11" ht="15">
      <c r="B704" s="144" t="s">
        <v>474</v>
      </c>
      <c r="C704" s="132" t="s">
        <v>471</v>
      </c>
      <c r="D704" s="132" t="s">
        <v>475</v>
      </c>
      <c r="E704" s="132">
        <v>0</v>
      </c>
      <c r="F704" s="145">
        <f>+E29</f>
        <v>0</v>
      </c>
      <c r="G704" s="175">
        <v>0.873</v>
      </c>
      <c r="H704" s="146">
        <f t="shared" si="60"/>
        <v>0</v>
      </c>
      <c r="I704" s="146">
        <v>1.3</v>
      </c>
      <c r="J704" s="147">
        <f t="shared" si="61"/>
        <v>0</v>
      </c>
      <c r="K704" s="148">
        <f t="shared" si="62"/>
        <v>0</v>
      </c>
    </row>
    <row r="705" spans="2:11" ht="15">
      <c r="B705" s="144" t="s">
        <v>476</v>
      </c>
      <c r="C705" s="132" t="s">
        <v>447</v>
      </c>
      <c r="D705" s="132" t="s">
        <v>450</v>
      </c>
      <c r="E705" s="132">
        <v>0</v>
      </c>
      <c r="F705" s="145">
        <f>+F29</f>
        <v>0</v>
      </c>
      <c r="G705" s="175">
        <v>0.873</v>
      </c>
      <c r="H705" s="146">
        <f t="shared" si="60"/>
        <v>0</v>
      </c>
      <c r="I705" s="146">
        <v>1.4</v>
      </c>
      <c r="J705" s="147">
        <f t="shared" si="61"/>
        <v>0</v>
      </c>
      <c r="K705" s="148">
        <f t="shared" si="62"/>
        <v>0</v>
      </c>
    </row>
    <row r="706" spans="2:11" ht="15">
      <c r="B706" s="144" t="s">
        <v>477</v>
      </c>
      <c r="C706" s="132" t="s">
        <v>447</v>
      </c>
      <c r="D706" s="132" t="s">
        <v>473</v>
      </c>
      <c r="E706" s="132">
        <v>0</v>
      </c>
      <c r="F706" s="145">
        <f>+G29</f>
        <v>0</v>
      </c>
      <c r="G706" s="175">
        <v>0.873</v>
      </c>
      <c r="H706" s="146">
        <f t="shared" si="60"/>
        <v>0</v>
      </c>
      <c r="I706" s="146">
        <v>1</v>
      </c>
      <c r="J706" s="147">
        <f t="shared" si="61"/>
        <v>0</v>
      </c>
      <c r="K706" s="148">
        <f t="shared" si="62"/>
        <v>0</v>
      </c>
    </row>
    <row r="707" spans="2:11" ht="15">
      <c r="B707" s="144" t="s">
        <v>478</v>
      </c>
      <c r="C707" s="132" t="s">
        <v>447</v>
      </c>
      <c r="D707" s="132" t="s">
        <v>475</v>
      </c>
      <c r="E707" s="132">
        <v>0</v>
      </c>
      <c r="F707" s="145">
        <f>+H29</f>
        <v>0</v>
      </c>
      <c r="G707" s="175">
        <v>0.873</v>
      </c>
      <c r="H707" s="146">
        <f t="shared" si="60"/>
        <v>0</v>
      </c>
      <c r="I707" s="146">
        <v>0.7</v>
      </c>
      <c r="J707" s="147">
        <f t="shared" si="61"/>
        <v>0</v>
      </c>
      <c r="K707" s="148">
        <f t="shared" si="62"/>
        <v>0</v>
      </c>
    </row>
    <row r="708" spans="2:11" ht="15">
      <c r="B708" s="167" t="s">
        <v>470</v>
      </c>
      <c r="C708" s="168" t="s">
        <v>471</v>
      </c>
      <c r="D708" s="168" t="s">
        <v>450</v>
      </c>
      <c r="E708" s="168">
        <v>1</v>
      </c>
      <c r="F708" s="185">
        <f>+F615</f>
        <v>0</v>
      </c>
      <c r="G708" s="176">
        <v>0.798</v>
      </c>
      <c r="H708" s="170">
        <f t="shared" si="60"/>
        <v>0</v>
      </c>
      <c r="I708" s="168">
        <v>4</v>
      </c>
      <c r="J708" s="171">
        <f t="shared" si="61"/>
        <v>0</v>
      </c>
      <c r="K708" s="172">
        <f t="shared" si="62"/>
        <v>0</v>
      </c>
    </row>
    <row r="709" spans="2:11" ht="15">
      <c r="B709" s="144" t="s">
        <v>472</v>
      </c>
      <c r="C709" s="132" t="s">
        <v>471</v>
      </c>
      <c r="D709" s="132" t="s">
        <v>473</v>
      </c>
      <c r="E709" s="132">
        <v>1</v>
      </c>
      <c r="F709" s="185">
        <f aca="true" t="shared" si="63" ref="F709:F772">+F616</f>
        <v>0</v>
      </c>
      <c r="G709" s="175">
        <v>0.798</v>
      </c>
      <c r="H709" s="146">
        <f t="shared" si="60"/>
        <v>0</v>
      </c>
      <c r="I709" s="146">
        <v>2.7</v>
      </c>
      <c r="J709" s="147">
        <f t="shared" si="61"/>
        <v>0</v>
      </c>
      <c r="K709" s="148">
        <f t="shared" si="62"/>
        <v>0</v>
      </c>
    </row>
    <row r="710" spans="2:11" ht="15">
      <c r="B710" s="144" t="s">
        <v>474</v>
      </c>
      <c r="C710" s="132" t="s">
        <v>471</v>
      </c>
      <c r="D710" s="132" t="s">
        <v>475</v>
      </c>
      <c r="E710" s="132">
        <v>1</v>
      </c>
      <c r="F710" s="185">
        <f t="shared" si="63"/>
        <v>0</v>
      </c>
      <c r="G710" s="175">
        <v>0.798</v>
      </c>
      <c r="H710" s="146">
        <f t="shared" si="60"/>
        <v>0</v>
      </c>
      <c r="I710" s="146">
        <v>1.6</v>
      </c>
      <c r="J710" s="147">
        <f t="shared" si="61"/>
        <v>0</v>
      </c>
      <c r="K710" s="148">
        <f t="shared" si="62"/>
        <v>0</v>
      </c>
    </row>
    <row r="711" spans="2:11" ht="15">
      <c r="B711" s="144" t="s">
        <v>476</v>
      </c>
      <c r="C711" s="132" t="s">
        <v>447</v>
      </c>
      <c r="D711" s="132" t="s">
        <v>450</v>
      </c>
      <c r="E711" s="132">
        <v>1</v>
      </c>
      <c r="F711" s="185">
        <f t="shared" si="63"/>
        <v>0</v>
      </c>
      <c r="G711" s="175">
        <v>0.798</v>
      </c>
      <c r="H711" s="146">
        <f t="shared" si="60"/>
        <v>0</v>
      </c>
      <c r="I711" s="146">
        <v>2.2</v>
      </c>
      <c r="J711" s="147">
        <f t="shared" si="61"/>
        <v>0</v>
      </c>
      <c r="K711" s="148">
        <f t="shared" si="62"/>
        <v>0</v>
      </c>
    </row>
    <row r="712" spans="2:11" ht="15">
      <c r="B712" s="144" t="s">
        <v>477</v>
      </c>
      <c r="C712" s="132" t="s">
        <v>447</v>
      </c>
      <c r="D712" s="132" t="s">
        <v>473</v>
      </c>
      <c r="E712" s="132">
        <v>1</v>
      </c>
      <c r="F712" s="185">
        <f t="shared" si="63"/>
        <v>0</v>
      </c>
      <c r="G712" s="175">
        <v>0.798</v>
      </c>
      <c r="H712" s="146">
        <f t="shared" si="60"/>
        <v>0</v>
      </c>
      <c r="I712" s="146">
        <v>1.5</v>
      </c>
      <c r="J712" s="147">
        <f t="shared" si="61"/>
        <v>0</v>
      </c>
      <c r="K712" s="148">
        <f t="shared" si="62"/>
        <v>0</v>
      </c>
    </row>
    <row r="713" spans="2:11" ht="15">
      <c r="B713" s="144" t="s">
        <v>478</v>
      </c>
      <c r="C713" s="132" t="s">
        <v>447</v>
      </c>
      <c r="D713" s="132" t="s">
        <v>475</v>
      </c>
      <c r="E713" s="132">
        <v>1</v>
      </c>
      <c r="F713" s="185">
        <f t="shared" si="63"/>
        <v>0</v>
      </c>
      <c r="G713" s="175">
        <v>0.798</v>
      </c>
      <c r="H713" s="146">
        <f t="shared" si="60"/>
        <v>0</v>
      </c>
      <c r="I713" s="146">
        <v>0.9</v>
      </c>
      <c r="J713" s="147">
        <f t="shared" si="61"/>
        <v>0</v>
      </c>
      <c r="K713" s="148">
        <f t="shared" si="62"/>
        <v>0</v>
      </c>
    </row>
    <row r="714" spans="2:11" ht="15">
      <c r="B714" s="167" t="s">
        <v>470</v>
      </c>
      <c r="C714" s="168" t="s">
        <v>471</v>
      </c>
      <c r="D714" s="168" t="s">
        <v>450</v>
      </c>
      <c r="E714" s="168">
        <v>2</v>
      </c>
      <c r="F714" s="185">
        <f t="shared" si="63"/>
        <v>0</v>
      </c>
      <c r="G714" s="176">
        <v>0.736</v>
      </c>
      <c r="H714" s="170">
        <f t="shared" si="60"/>
        <v>0</v>
      </c>
      <c r="I714" s="168">
        <v>5.4</v>
      </c>
      <c r="J714" s="171">
        <f t="shared" si="61"/>
        <v>0</v>
      </c>
      <c r="K714" s="172">
        <f t="shared" si="62"/>
        <v>0</v>
      </c>
    </row>
    <row r="715" spans="2:11" ht="15">
      <c r="B715" s="144" t="s">
        <v>472</v>
      </c>
      <c r="C715" s="132" t="s">
        <v>471</v>
      </c>
      <c r="D715" s="132" t="s">
        <v>473</v>
      </c>
      <c r="E715" s="132">
        <v>2</v>
      </c>
      <c r="F715" s="185">
        <f t="shared" si="63"/>
        <v>0</v>
      </c>
      <c r="G715" s="175">
        <v>0.736</v>
      </c>
      <c r="H715" s="146">
        <f t="shared" si="60"/>
        <v>0</v>
      </c>
      <c r="I715" s="146">
        <v>3.5</v>
      </c>
      <c r="J715" s="147">
        <f t="shared" si="61"/>
        <v>0</v>
      </c>
      <c r="K715" s="148">
        <f t="shared" si="62"/>
        <v>0</v>
      </c>
    </row>
    <row r="716" spans="2:11" ht="15">
      <c r="B716" s="144" t="s">
        <v>474</v>
      </c>
      <c r="C716" s="132" t="s">
        <v>471</v>
      </c>
      <c r="D716" s="132" t="s">
        <v>475</v>
      </c>
      <c r="E716" s="132">
        <v>2</v>
      </c>
      <c r="F716" s="185">
        <f t="shared" si="63"/>
        <v>0</v>
      </c>
      <c r="G716" s="175">
        <v>0.736</v>
      </c>
      <c r="H716" s="146">
        <f t="shared" si="60"/>
        <v>0</v>
      </c>
      <c r="I716" s="146">
        <v>2</v>
      </c>
      <c r="J716" s="147">
        <f t="shared" si="61"/>
        <v>0</v>
      </c>
      <c r="K716" s="148">
        <f t="shared" si="62"/>
        <v>0</v>
      </c>
    </row>
    <row r="717" spans="2:11" ht="15">
      <c r="B717" s="144" t="s">
        <v>476</v>
      </c>
      <c r="C717" s="132" t="s">
        <v>447</v>
      </c>
      <c r="D717" s="132" t="s">
        <v>450</v>
      </c>
      <c r="E717" s="132">
        <v>2</v>
      </c>
      <c r="F717" s="185">
        <f t="shared" si="63"/>
        <v>0</v>
      </c>
      <c r="G717" s="175">
        <v>0.736</v>
      </c>
      <c r="H717" s="146">
        <f t="shared" si="60"/>
        <v>0</v>
      </c>
      <c r="I717" s="146">
        <v>3.1</v>
      </c>
      <c r="J717" s="147">
        <f t="shared" si="61"/>
        <v>0</v>
      </c>
      <c r="K717" s="148">
        <f t="shared" si="62"/>
        <v>0</v>
      </c>
    </row>
    <row r="718" spans="2:11" ht="15">
      <c r="B718" s="144" t="s">
        <v>477</v>
      </c>
      <c r="C718" s="132" t="s">
        <v>447</v>
      </c>
      <c r="D718" s="132" t="s">
        <v>473</v>
      </c>
      <c r="E718" s="132">
        <v>2</v>
      </c>
      <c r="F718" s="185">
        <f t="shared" si="63"/>
        <v>0</v>
      </c>
      <c r="G718" s="175">
        <v>0.736</v>
      </c>
      <c r="H718" s="146">
        <f t="shared" si="60"/>
        <v>0</v>
      </c>
      <c r="I718" s="146">
        <v>2</v>
      </c>
      <c r="J718" s="147">
        <f t="shared" si="61"/>
        <v>0</v>
      </c>
      <c r="K718" s="148">
        <f t="shared" si="62"/>
        <v>0</v>
      </c>
    </row>
    <row r="719" spans="2:11" ht="15">
      <c r="B719" s="144" t="s">
        <v>478</v>
      </c>
      <c r="C719" s="132" t="s">
        <v>447</v>
      </c>
      <c r="D719" s="132" t="s">
        <v>475</v>
      </c>
      <c r="E719" s="132">
        <v>2</v>
      </c>
      <c r="F719" s="185">
        <f t="shared" si="63"/>
        <v>0</v>
      </c>
      <c r="G719" s="175">
        <v>0.736</v>
      </c>
      <c r="H719" s="146">
        <f t="shared" si="60"/>
        <v>0</v>
      </c>
      <c r="I719" s="146">
        <v>1.1</v>
      </c>
      <c r="J719" s="147">
        <f t="shared" si="61"/>
        <v>0</v>
      </c>
      <c r="K719" s="148">
        <f t="shared" si="62"/>
        <v>0</v>
      </c>
    </row>
    <row r="720" spans="2:11" ht="15">
      <c r="B720" s="167" t="s">
        <v>470</v>
      </c>
      <c r="C720" s="168" t="s">
        <v>471</v>
      </c>
      <c r="D720" s="168" t="s">
        <v>450</v>
      </c>
      <c r="E720" s="168">
        <v>3</v>
      </c>
      <c r="F720" s="185">
        <f t="shared" si="63"/>
        <v>0</v>
      </c>
      <c r="G720" s="176">
        <v>0.706</v>
      </c>
      <c r="H720" s="170">
        <f t="shared" si="60"/>
        <v>0</v>
      </c>
      <c r="I720" s="168">
        <v>6.9</v>
      </c>
      <c r="J720" s="171">
        <f t="shared" si="61"/>
        <v>0</v>
      </c>
      <c r="K720" s="172">
        <f t="shared" si="62"/>
        <v>0</v>
      </c>
    </row>
    <row r="721" spans="2:11" ht="15">
      <c r="B721" s="144" t="s">
        <v>472</v>
      </c>
      <c r="C721" s="132" t="s">
        <v>471</v>
      </c>
      <c r="D721" s="132" t="s">
        <v>473</v>
      </c>
      <c r="E721" s="132">
        <v>3</v>
      </c>
      <c r="F721" s="185">
        <f t="shared" si="63"/>
        <v>0</v>
      </c>
      <c r="G721" s="175">
        <v>0.706</v>
      </c>
      <c r="H721" s="146">
        <f t="shared" si="60"/>
        <v>0</v>
      </c>
      <c r="I721" s="146">
        <v>4.3</v>
      </c>
      <c r="J721" s="147">
        <f t="shared" si="61"/>
        <v>0</v>
      </c>
      <c r="K721" s="148">
        <f t="shared" si="62"/>
        <v>0</v>
      </c>
    </row>
    <row r="722" spans="2:11" ht="15">
      <c r="B722" s="144" t="s">
        <v>474</v>
      </c>
      <c r="C722" s="132" t="s">
        <v>471</v>
      </c>
      <c r="D722" s="132" t="s">
        <v>475</v>
      </c>
      <c r="E722" s="132">
        <v>3</v>
      </c>
      <c r="F722" s="185">
        <f t="shared" si="63"/>
        <v>0</v>
      </c>
      <c r="G722" s="175">
        <v>0.706</v>
      </c>
      <c r="H722" s="146">
        <f t="shared" si="60"/>
        <v>0</v>
      </c>
      <c r="I722" s="146">
        <v>2.4</v>
      </c>
      <c r="J722" s="147">
        <f t="shared" si="61"/>
        <v>0</v>
      </c>
      <c r="K722" s="148">
        <f t="shared" si="62"/>
        <v>0</v>
      </c>
    </row>
    <row r="723" spans="2:11" ht="15">
      <c r="B723" s="144" t="s">
        <v>476</v>
      </c>
      <c r="C723" s="132" t="s">
        <v>447</v>
      </c>
      <c r="D723" s="132" t="s">
        <v>450</v>
      </c>
      <c r="E723" s="132">
        <v>3</v>
      </c>
      <c r="F723" s="185">
        <f t="shared" si="63"/>
        <v>0</v>
      </c>
      <c r="G723" s="175">
        <v>0.706</v>
      </c>
      <c r="H723" s="146">
        <f t="shared" si="60"/>
        <v>0</v>
      </c>
      <c r="I723" s="146">
        <v>4.1</v>
      </c>
      <c r="J723" s="147">
        <f t="shared" si="61"/>
        <v>0</v>
      </c>
      <c r="K723" s="148">
        <f t="shared" si="62"/>
        <v>0</v>
      </c>
    </row>
    <row r="724" spans="2:11" ht="15">
      <c r="B724" s="144" t="s">
        <v>477</v>
      </c>
      <c r="C724" s="132" t="s">
        <v>447</v>
      </c>
      <c r="D724" s="132" t="s">
        <v>473</v>
      </c>
      <c r="E724" s="132">
        <v>3</v>
      </c>
      <c r="F724" s="185">
        <f t="shared" si="63"/>
        <v>0</v>
      </c>
      <c r="G724" s="175">
        <v>0.706</v>
      </c>
      <c r="H724" s="146">
        <f t="shared" si="60"/>
        <v>0</v>
      </c>
      <c r="I724" s="146">
        <v>2.5</v>
      </c>
      <c r="J724" s="147">
        <f t="shared" si="61"/>
        <v>0</v>
      </c>
      <c r="K724" s="148">
        <f t="shared" si="62"/>
        <v>0</v>
      </c>
    </row>
    <row r="725" spans="2:11" ht="15">
      <c r="B725" s="144" t="s">
        <v>478</v>
      </c>
      <c r="C725" s="132" t="s">
        <v>447</v>
      </c>
      <c r="D725" s="132" t="s">
        <v>475</v>
      </c>
      <c r="E725" s="132">
        <v>3</v>
      </c>
      <c r="F725" s="185">
        <f t="shared" si="63"/>
        <v>0</v>
      </c>
      <c r="G725" s="175">
        <v>0.706</v>
      </c>
      <c r="H725" s="146">
        <f t="shared" si="60"/>
        <v>0</v>
      </c>
      <c r="I725" s="146">
        <v>1.4</v>
      </c>
      <c r="J725" s="147">
        <f t="shared" si="61"/>
        <v>0</v>
      </c>
      <c r="K725" s="148">
        <f t="shared" si="62"/>
        <v>0</v>
      </c>
    </row>
    <row r="726" spans="2:11" ht="15">
      <c r="B726" s="167" t="s">
        <v>470</v>
      </c>
      <c r="C726" s="168" t="s">
        <v>471</v>
      </c>
      <c r="D726" s="168" t="s">
        <v>450</v>
      </c>
      <c r="E726" s="168">
        <v>4</v>
      </c>
      <c r="F726" s="185">
        <f t="shared" si="63"/>
        <v>0</v>
      </c>
      <c r="G726" s="176">
        <v>0.678</v>
      </c>
      <c r="H726" s="170">
        <f t="shared" si="60"/>
        <v>0</v>
      </c>
      <c r="I726" s="168">
        <v>8.5</v>
      </c>
      <c r="J726" s="171">
        <f t="shared" si="61"/>
        <v>0</v>
      </c>
      <c r="K726" s="172">
        <f t="shared" si="62"/>
        <v>0</v>
      </c>
    </row>
    <row r="727" spans="2:11" ht="15">
      <c r="B727" s="144" t="s">
        <v>472</v>
      </c>
      <c r="C727" s="132" t="s">
        <v>471</v>
      </c>
      <c r="D727" s="132" t="s">
        <v>473</v>
      </c>
      <c r="E727" s="132">
        <v>4</v>
      </c>
      <c r="F727" s="185">
        <f t="shared" si="63"/>
        <v>0</v>
      </c>
      <c r="G727" s="175">
        <v>0.678</v>
      </c>
      <c r="H727" s="146">
        <f t="shared" si="60"/>
        <v>0</v>
      </c>
      <c r="I727" s="146">
        <v>5.2</v>
      </c>
      <c r="J727" s="147">
        <f t="shared" si="61"/>
        <v>0</v>
      </c>
      <c r="K727" s="148">
        <f t="shared" si="62"/>
        <v>0</v>
      </c>
    </row>
    <row r="728" spans="2:11" ht="15">
      <c r="B728" s="144" t="s">
        <v>474</v>
      </c>
      <c r="C728" s="132" t="s">
        <v>471</v>
      </c>
      <c r="D728" s="132" t="s">
        <v>475</v>
      </c>
      <c r="E728" s="132">
        <v>4</v>
      </c>
      <c r="F728" s="185">
        <f t="shared" si="63"/>
        <v>0</v>
      </c>
      <c r="G728" s="175">
        <v>0.678</v>
      </c>
      <c r="H728" s="146">
        <f t="shared" si="60"/>
        <v>0</v>
      </c>
      <c r="I728" s="146">
        <v>2.8</v>
      </c>
      <c r="J728" s="147">
        <f t="shared" si="61"/>
        <v>0</v>
      </c>
      <c r="K728" s="148">
        <f t="shared" si="62"/>
        <v>0</v>
      </c>
    </row>
    <row r="729" spans="2:11" ht="15">
      <c r="B729" s="144" t="s">
        <v>476</v>
      </c>
      <c r="C729" s="132" t="s">
        <v>447</v>
      </c>
      <c r="D729" s="132" t="s">
        <v>450</v>
      </c>
      <c r="E729" s="132">
        <v>4</v>
      </c>
      <c r="F729" s="185">
        <f t="shared" si="63"/>
        <v>0</v>
      </c>
      <c r="G729" s="175">
        <v>0.678</v>
      </c>
      <c r="H729" s="146">
        <f t="shared" si="60"/>
        <v>0</v>
      </c>
      <c r="I729" s="146">
        <v>5.2</v>
      </c>
      <c r="J729" s="147">
        <f t="shared" si="61"/>
        <v>0</v>
      </c>
      <c r="K729" s="148">
        <f t="shared" si="62"/>
        <v>0</v>
      </c>
    </row>
    <row r="730" spans="2:11" ht="15">
      <c r="B730" s="144" t="s">
        <v>477</v>
      </c>
      <c r="C730" s="132" t="s">
        <v>447</v>
      </c>
      <c r="D730" s="132" t="s">
        <v>473</v>
      </c>
      <c r="E730" s="132">
        <v>4</v>
      </c>
      <c r="F730" s="185">
        <f t="shared" si="63"/>
        <v>0</v>
      </c>
      <c r="G730" s="175">
        <v>0.678</v>
      </c>
      <c r="H730" s="146">
        <f t="shared" si="60"/>
        <v>0</v>
      </c>
      <c r="I730" s="146">
        <v>3.1</v>
      </c>
      <c r="J730" s="147">
        <f t="shared" si="61"/>
        <v>0</v>
      </c>
      <c r="K730" s="148">
        <f t="shared" si="62"/>
        <v>0</v>
      </c>
    </row>
    <row r="731" spans="2:11" ht="15">
      <c r="B731" s="144" t="s">
        <v>478</v>
      </c>
      <c r="C731" s="132" t="s">
        <v>447</v>
      </c>
      <c r="D731" s="132" t="s">
        <v>475</v>
      </c>
      <c r="E731" s="132">
        <v>4</v>
      </c>
      <c r="F731" s="185">
        <f t="shared" si="63"/>
        <v>0</v>
      </c>
      <c r="G731" s="175">
        <v>0.678</v>
      </c>
      <c r="H731" s="146">
        <f t="shared" si="60"/>
        <v>0</v>
      </c>
      <c r="I731" s="146">
        <v>1.6</v>
      </c>
      <c r="J731" s="147">
        <f t="shared" si="61"/>
        <v>0</v>
      </c>
      <c r="K731" s="148">
        <f t="shared" si="62"/>
        <v>0</v>
      </c>
    </row>
    <row r="732" spans="2:11" ht="15">
      <c r="B732" s="167" t="s">
        <v>470</v>
      </c>
      <c r="C732" s="168" t="s">
        <v>471</v>
      </c>
      <c r="D732" s="168" t="s">
        <v>450</v>
      </c>
      <c r="E732" s="168">
        <v>5</v>
      </c>
      <c r="F732" s="185">
        <f t="shared" si="63"/>
        <v>0</v>
      </c>
      <c r="G732" s="176">
        <v>0.658</v>
      </c>
      <c r="H732" s="170">
        <f t="shared" si="60"/>
        <v>0</v>
      </c>
      <c r="I732" s="168">
        <v>10.1</v>
      </c>
      <c r="J732" s="171">
        <f t="shared" si="61"/>
        <v>0</v>
      </c>
      <c r="K732" s="172">
        <f t="shared" si="62"/>
        <v>0</v>
      </c>
    </row>
    <row r="733" spans="2:11" ht="15">
      <c r="B733" s="144" t="s">
        <v>472</v>
      </c>
      <c r="C733" s="132" t="s">
        <v>471</v>
      </c>
      <c r="D733" s="132" t="s">
        <v>473</v>
      </c>
      <c r="E733" s="132">
        <v>5</v>
      </c>
      <c r="F733" s="185">
        <f t="shared" si="63"/>
        <v>0</v>
      </c>
      <c r="G733" s="175">
        <v>0.658</v>
      </c>
      <c r="H733" s="146">
        <f t="shared" si="60"/>
        <v>0</v>
      </c>
      <c r="I733" s="146">
        <v>6.1</v>
      </c>
      <c r="J733" s="147">
        <f t="shared" si="61"/>
        <v>0</v>
      </c>
      <c r="K733" s="148">
        <f t="shared" si="62"/>
        <v>0</v>
      </c>
    </row>
    <row r="734" spans="2:11" ht="15">
      <c r="B734" s="144" t="s">
        <v>474</v>
      </c>
      <c r="C734" s="132" t="s">
        <v>471</v>
      </c>
      <c r="D734" s="132" t="s">
        <v>475</v>
      </c>
      <c r="E734" s="132">
        <v>5</v>
      </c>
      <c r="F734" s="185">
        <f t="shared" si="63"/>
        <v>0</v>
      </c>
      <c r="G734" s="175">
        <v>0.658</v>
      </c>
      <c r="H734" s="146">
        <f t="shared" si="60"/>
        <v>0</v>
      </c>
      <c r="I734" s="146">
        <v>3.2</v>
      </c>
      <c r="J734" s="147">
        <f t="shared" si="61"/>
        <v>0</v>
      </c>
      <c r="K734" s="148">
        <f t="shared" si="62"/>
        <v>0</v>
      </c>
    </row>
    <row r="735" spans="2:11" ht="15">
      <c r="B735" s="144" t="s">
        <v>476</v>
      </c>
      <c r="C735" s="132" t="s">
        <v>447</v>
      </c>
      <c r="D735" s="132" t="s">
        <v>450</v>
      </c>
      <c r="E735" s="132">
        <v>5</v>
      </c>
      <c r="F735" s="185">
        <f t="shared" si="63"/>
        <v>0</v>
      </c>
      <c r="G735" s="175">
        <v>0.658</v>
      </c>
      <c r="H735" s="146">
        <f t="shared" si="60"/>
        <v>0</v>
      </c>
      <c r="I735" s="146">
        <v>6.4</v>
      </c>
      <c r="J735" s="147">
        <f t="shared" si="61"/>
        <v>0</v>
      </c>
      <c r="K735" s="148">
        <f t="shared" si="62"/>
        <v>0</v>
      </c>
    </row>
    <row r="736" spans="2:11" ht="15">
      <c r="B736" s="144" t="s">
        <v>477</v>
      </c>
      <c r="C736" s="132" t="s">
        <v>447</v>
      </c>
      <c r="D736" s="132" t="s">
        <v>473</v>
      </c>
      <c r="E736" s="132">
        <v>5</v>
      </c>
      <c r="F736" s="185">
        <f t="shared" si="63"/>
        <v>0</v>
      </c>
      <c r="G736" s="175">
        <v>0.658</v>
      </c>
      <c r="H736" s="146">
        <f t="shared" si="60"/>
        <v>0</v>
      </c>
      <c r="I736" s="146">
        <v>3.7</v>
      </c>
      <c r="J736" s="147">
        <f t="shared" si="61"/>
        <v>0</v>
      </c>
      <c r="K736" s="148">
        <f t="shared" si="62"/>
        <v>0</v>
      </c>
    </row>
    <row r="737" spans="2:11" ht="15">
      <c r="B737" s="144" t="s">
        <v>478</v>
      </c>
      <c r="C737" s="132" t="s">
        <v>447</v>
      </c>
      <c r="D737" s="132" t="s">
        <v>475</v>
      </c>
      <c r="E737" s="132">
        <v>5</v>
      </c>
      <c r="F737" s="185">
        <f t="shared" si="63"/>
        <v>0</v>
      </c>
      <c r="G737" s="175">
        <v>0.658</v>
      </c>
      <c r="H737" s="146">
        <f t="shared" si="60"/>
        <v>0</v>
      </c>
      <c r="I737" s="146">
        <v>1.9</v>
      </c>
      <c r="J737" s="147">
        <f t="shared" si="61"/>
        <v>0</v>
      </c>
      <c r="K737" s="148">
        <f t="shared" si="62"/>
        <v>0</v>
      </c>
    </row>
    <row r="738" spans="2:11" ht="15">
      <c r="B738" s="167" t="s">
        <v>470</v>
      </c>
      <c r="C738" s="168" t="s">
        <v>471</v>
      </c>
      <c r="D738" s="168" t="s">
        <v>450</v>
      </c>
      <c r="E738" s="168">
        <v>6</v>
      </c>
      <c r="F738" s="185">
        <f t="shared" si="63"/>
        <v>0</v>
      </c>
      <c r="G738" s="176">
        <v>0.644</v>
      </c>
      <c r="H738" s="170">
        <f t="shared" si="60"/>
        <v>0</v>
      </c>
      <c r="I738" s="168">
        <v>11.8</v>
      </c>
      <c r="J738" s="171">
        <f t="shared" si="61"/>
        <v>0</v>
      </c>
      <c r="K738" s="172">
        <f t="shared" si="62"/>
        <v>0</v>
      </c>
    </row>
    <row r="739" spans="2:11" ht="15">
      <c r="B739" s="144" t="s">
        <v>472</v>
      </c>
      <c r="C739" s="132" t="s">
        <v>471</v>
      </c>
      <c r="D739" s="132" t="s">
        <v>473</v>
      </c>
      <c r="E739" s="132">
        <v>6</v>
      </c>
      <c r="F739" s="185">
        <f t="shared" si="63"/>
        <v>0</v>
      </c>
      <c r="G739" s="175">
        <v>0.639</v>
      </c>
      <c r="H739" s="146">
        <f t="shared" si="60"/>
        <v>0</v>
      </c>
      <c r="I739" s="146">
        <v>7.1</v>
      </c>
      <c r="J739" s="147">
        <f t="shared" si="61"/>
        <v>0</v>
      </c>
      <c r="K739" s="148">
        <f t="shared" si="62"/>
        <v>0</v>
      </c>
    </row>
    <row r="740" spans="2:11" ht="15">
      <c r="B740" s="144" t="s">
        <v>474</v>
      </c>
      <c r="C740" s="132" t="s">
        <v>471</v>
      </c>
      <c r="D740" s="132" t="s">
        <v>475</v>
      </c>
      <c r="E740" s="132">
        <v>6</v>
      </c>
      <c r="F740" s="185">
        <f t="shared" si="63"/>
        <v>0</v>
      </c>
      <c r="G740" s="175">
        <v>0.639</v>
      </c>
      <c r="H740" s="146">
        <f t="shared" si="60"/>
        <v>0</v>
      </c>
      <c r="I740" s="146">
        <v>3.7</v>
      </c>
      <c r="J740" s="147">
        <f t="shared" si="61"/>
        <v>0</v>
      </c>
      <c r="K740" s="148">
        <f t="shared" si="62"/>
        <v>0</v>
      </c>
    </row>
    <row r="741" spans="2:11" ht="15">
      <c r="B741" s="144" t="s">
        <v>476</v>
      </c>
      <c r="C741" s="132" t="s">
        <v>447</v>
      </c>
      <c r="D741" s="132" t="s">
        <v>450</v>
      </c>
      <c r="E741" s="132">
        <v>6</v>
      </c>
      <c r="F741" s="185">
        <f t="shared" si="63"/>
        <v>0</v>
      </c>
      <c r="G741" s="175">
        <v>0.644</v>
      </c>
      <c r="H741" s="146">
        <f t="shared" si="60"/>
        <v>0</v>
      </c>
      <c r="I741" s="146">
        <v>7.6</v>
      </c>
      <c r="J741" s="147">
        <f t="shared" si="61"/>
        <v>0</v>
      </c>
      <c r="K741" s="148">
        <f t="shared" si="62"/>
        <v>0</v>
      </c>
    </row>
    <row r="742" spans="2:11" ht="15">
      <c r="B742" s="144" t="s">
        <v>477</v>
      </c>
      <c r="C742" s="132" t="s">
        <v>447</v>
      </c>
      <c r="D742" s="132" t="s">
        <v>473</v>
      </c>
      <c r="E742" s="132">
        <v>6</v>
      </c>
      <c r="F742" s="185">
        <f t="shared" si="63"/>
        <v>0</v>
      </c>
      <c r="G742" s="175">
        <v>0.639</v>
      </c>
      <c r="H742" s="146">
        <f t="shared" si="60"/>
        <v>0</v>
      </c>
      <c r="I742" s="146">
        <v>4.4</v>
      </c>
      <c r="J742" s="147">
        <f t="shared" si="61"/>
        <v>0</v>
      </c>
      <c r="K742" s="148">
        <f t="shared" si="62"/>
        <v>0</v>
      </c>
    </row>
    <row r="743" spans="2:11" ht="15">
      <c r="B743" s="144" t="s">
        <v>478</v>
      </c>
      <c r="C743" s="132" t="s">
        <v>447</v>
      </c>
      <c r="D743" s="132" t="s">
        <v>475</v>
      </c>
      <c r="E743" s="132">
        <v>6</v>
      </c>
      <c r="F743" s="185">
        <f t="shared" si="63"/>
        <v>0</v>
      </c>
      <c r="G743" s="175">
        <v>0.639</v>
      </c>
      <c r="H743" s="146">
        <f t="shared" si="60"/>
        <v>0</v>
      </c>
      <c r="I743" s="146">
        <v>2.2</v>
      </c>
      <c r="J743" s="147">
        <f t="shared" si="61"/>
        <v>0</v>
      </c>
      <c r="K743" s="148">
        <f t="shared" si="62"/>
        <v>0</v>
      </c>
    </row>
    <row r="744" spans="2:11" ht="15">
      <c r="B744" s="167" t="s">
        <v>470</v>
      </c>
      <c r="C744" s="168" t="s">
        <v>471</v>
      </c>
      <c r="D744" s="168" t="s">
        <v>450</v>
      </c>
      <c r="E744" s="168">
        <v>7</v>
      </c>
      <c r="F744" s="185">
        <f t="shared" si="63"/>
        <v>0</v>
      </c>
      <c r="G744" s="176">
        <v>0.63</v>
      </c>
      <c r="H744" s="170">
        <f t="shared" si="60"/>
        <v>0</v>
      </c>
      <c r="I744" s="168">
        <v>13.6</v>
      </c>
      <c r="J744" s="171">
        <f t="shared" si="61"/>
        <v>0</v>
      </c>
      <c r="K744" s="172">
        <f t="shared" si="62"/>
        <v>0</v>
      </c>
    </row>
    <row r="745" spans="2:11" ht="15">
      <c r="B745" s="144" t="s">
        <v>472</v>
      </c>
      <c r="C745" s="132" t="s">
        <v>471</v>
      </c>
      <c r="D745" s="132" t="s">
        <v>473</v>
      </c>
      <c r="E745" s="132">
        <v>7</v>
      </c>
      <c r="F745" s="185">
        <f t="shared" si="63"/>
        <v>0</v>
      </c>
      <c r="G745" s="175">
        <v>0.621</v>
      </c>
      <c r="H745" s="146">
        <f t="shared" si="60"/>
        <v>0</v>
      </c>
      <c r="I745" s="146">
        <v>8.1</v>
      </c>
      <c r="J745" s="147">
        <f t="shared" si="61"/>
        <v>0</v>
      </c>
      <c r="K745" s="148">
        <f t="shared" si="62"/>
        <v>0</v>
      </c>
    </row>
    <row r="746" spans="2:11" ht="15">
      <c r="B746" s="144" t="s">
        <v>474</v>
      </c>
      <c r="C746" s="132" t="s">
        <v>471</v>
      </c>
      <c r="D746" s="132" t="s">
        <v>475</v>
      </c>
      <c r="E746" s="132">
        <v>7</v>
      </c>
      <c r="F746" s="185">
        <f t="shared" si="63"/>
        <v>0</v>
      </c>
      <c r="G746" s="175">
        <v>0.621</v>
      </c>
      <c r="H746" s="146">
        <f t="shared" si="60"/>
        <v>0</v>
      </c>
      <c r="I746" s="146">
        <v>4.1</v>
      </c>
      <c r="J746" s="147">
        <f t="shared" si="61"/>
        <v>0</v>
      </c>
      <c r="K746" s="148">
        <f t="shared" si="62"/>
        <v>0</v>
      </c>
    </row>
    <row r="747" spans="2:11" ht="15">
      <c r="B747" s="144" t="s">
        <v>476</v>
      </c>
      <c r="C747" s="132" t="s">
        <v>447</v>
      </c>
      <c r="D747" s="132" t="s">
        <v>450</v>
      </c>
      <c r="E747" s="132">
        <v>7</v>
      </c>
      <c r="F747" s="185">
        <f t="shared" si="63"/>
        <v>0</v>
      </c>
      <c r="G747" s="175">
        <v>0.63</v>
      </c>
      <c r="H747" s="146">
        <f t="shared" si="60"/>
        <v>0</v>
      </c>
      <c r="I747" s="146">
        <v>8.9</v>
      </c>
      <c r="J747" s="147">
        <f t="shared" si="61"/>
        <v>0</v>
      </c>
      <c r="K747" s="148">
        <f t="shared" si="62"/>
        <v>0</v>
      </c>
    </row>
    <row r="748" spans="2:11" ht="15">
      <c r="B748" s="144" t="s">
        <v>477</v>
      </c>
      <c r="C748" s="132" t="s">
        <v>447</v>
      </c>
      <c r="D748" s="132" t="s">
        <v>473</v>
      </c>
      <c r="E748" s="132">
        <v>7</v>
      </c>
      <c r="F748" s="185">
        <f t="shared" si="63"/>
        <v>0</v>
      </c>
      <c r="G748" s="175">
        <v>0.621</v>
      </c>
      <c r="H748" s="146">
        <f t="shared" si="60"/>
        <v>0</v>
      </c>
      <c r="I748" s="146">
        <v>5.1</v>
      </c>
      <c r="J748" s="147">
        <f t="shared" si="61"/>
        <v>0</v>
      </c>
      <c r="K748" s="148">
        <f t="shared" si="62"/>
        <v>0</v>
      </c>
    </row>
    <row r="749" spans="2:11" ht="15">
      <c r="B749" s="144" t="s">
        <v>478</v>
      </c>
      <c r="C749" s="132" t="s">
        <v>447</v>
      </c>
      <c r="D749" s="132" t="s">
        <v>475</v>
      </c>
      <c r="E749" s="132">
        <v>7</v>
      </c>
      <c r="F749" s="185">
        <f t="shared" si="63"/>
        <v>0</v>
      </c>
      <c r="G749" s="175">
        <v>0.621</v>
      </c>
      <c r="H749" s="146">
        <f t="shared" si="60"/>
        <v>0</v>
      </c>
      <c r="I749" s="146">
        <v>2.5</v>
      </c>
      <c r="J749" s="147">
        <f t="shared" si="61"/>
        <v>0</v>
      </c>
      <c r="K749" s="148">
        <f t="shared" si="62"/>
        <v>0</v>
      </c>
    </row>
    <row r="750" spans="2:11" ht="15">
      <c r="B750" s="167" t="s">
        <v>470</v>
      </c>
      <c r="C750" s="168" t="s">
        <v>471</v>
      </c>
      <c r="D750" s="168" t="s">
        <v>450</v>
      </c>
      <c r="E750" s="168">
        <v>8</v>
      </c>
      <c r="F750" s="185">
        <f t="shared" si="63"/>
        <v>0</v>
      </c>
      <c r="G750" s="176">
        <v>0.616</v>
      </c>
      <c r="H750" s="170">
        <f t="shared" si="60"/>
        <v>0</v>
      </c>
      <c r="I750" s="168">
        <v>15.5</v>
      </c>
      <c r="J750" s="171">
        <f t="shared" si="61"/>
        <v>0</v>
      </c>
      <c r="K750" s="172">
        <f t="shared" si="62"/>
        <v>0</v>
      </c>
    </row>
    <row r="751" spans="2:11" ht="15">
      <c r="B751" s="144" t="s">
        <v>472</v>
      </c>
      <c r="C751" s="132" t="s">
        <v>471</v>
      </c>
      <c r="D751" s="132" t="s">
        <v>473</v>
      </c>
      <c r="E751" s="132">
        <v>8</v>
      </c>
      <c r="F751" s="185">
        <f t="shared" si="63"/>
        <v>0</v>
      </c>
      <c r="G751" s="175">
        <v>0.603</v>
      </c>
      <c r="H751" s="146">
        <f t="shared" si="60"/>
        <v>0</v>
      </c>
      <c r="I751" s="146">
        <v>9.1</v>
      </c>
      <c r="J751" s="147">
        <f t="shared" si="61"/>
        <v>0</v>
      </c>
      <c r="K751" s="148">
        <f t="shared" si="62"/>
        <v>0</v>
      </c>
    </row>
    <row r="752" spans="2:11" ht="15">
      <c r="B752" s="144" t="s">
        <v>474</v>
      </c>
      <c r="C752" s="132" t="s">
        <v>471</v>
      </c>
      <c r="D752" s="132" t="s">
        <v>475</v>
      </c>
      <c r="E752" s="132">
        <v>8</v>
      </c>
      <c r="F752" s="185">
        <f t="shared" si="63"/>
        <v>0</v>
      </c>
      <c r="G752" s="175">
        <v>0.603</v>
      </c>
      <c r="H752" s="146">
        <f t="shared" si="60"/>
        <v>0</v>
      </c>
      <c r="I752" s="146">
        <v>4.6</v>
      </c>
      <c r="J752" s="147">
        <f t="shared" si="61"/>
        <v>0</v>
      </c>
      <c r="K752" s="148">
        <f t="shared" si="62"/>
        <v>0</v>
      </c>
    </row>
    <row r="753" spans="2:11" ht="15">
      <c r="B753" s="144" t="s">
        <v>476</v>
      </c>
      <c r="C753" s="132" t="s">
        <v>447</v>
      </c>
      <c r="D753" s="132" t="s">
        <v>450</v>
      </c>
      <c r="E753" s="132">
        <v>8</v>
      </c>
      <c r="F753" s="185">
        <f t="shared" si="63"/>
        <v>0</v>
      </c>
      <c r="G753" s="175">
        <v>0.616</v>
      </c>
      <c r="H753" s="146">
        <f t="shared" si="60"/>
        <v>0</v>
      </c>
      <c r="I753" s="146">
        <v>10.2</v>
      </c>
      <c r="J753" s="147">
        <f t="shared" si="61"/>
        <v>0</v>
      </c>
      <c r="K753" s="148">
        <f t="shared" si="62"/>
        <v>0</v>
      </c>
    </row>
    <row r="754" spans="2:11" ht="15">
      <c r="B754" s="144" t="s">
        <v>477</v>
      </c>
      <c r="C754" s="132" t="s">
        <v>447</v>
      </c>
      <c r="D754" s="132" t="s">
        <v>473</v>
      </c>
      <c r="E754" s="132">
        <v>8</v>
      </c>
      <c r="F754" s="185">
        <f t="shared" si="63"/>
        <v>0</v>
      </c>
      <c r="G754" s="175">
        <v>0.603</v>
      </c>
      <c r="H754" s="146">
        <f t="shared" si="60"/>
        <v>0</v>
      </c>
      <c r="I754" s="146">
        <v>5.8</v>
      </c>
      <c r="J754" s="147">
        <f t="shared" si="61"/>
        <v>0</v>
      </c>
      <c r="K754" s="148">
        <f t="shared" si="62"/>
        <v>0</v>
      </c>
    </row>
    <row r="755" spans="2:11" ht="15">
      <c r="B755" s="144" t="s">
        <v>478</v>
      </c>
      <c r="C755" s="132" t="s">
        <v>447</v>
      </c>
      <c r="D755" s="132" t="s">
        <v>475</v>
      </c>
      <c r="E755" s="132">
        <v>8</v>
      </c>
      <c r="F755" s="185">
        <f t="shared" si="63"/>
        <v>0</v>
      </c>
      <c r="G755" s="175">
        <v>0.603</v>
      </c>
      <c r="H755" s="146">
        <f t="shared" si="60"/>
        <v>0</v>
      </c>
      <c r="I755" s="146">
        <v>2.8</v>
      </c>
      <c r="J755" s="147">
        <f t="shared" si="61"/>
        <v>0</v>
      </c>
      <c r="K755" s="148">
        <f t="shared" si="62"/>
        <v>0</v>
      </c>
    </row>
    <row r="756" spans="2:11" ht="15">
      <c r="B756" s="167" t="s">
        <v>470</v>
      </c>
      <c r="C756" s="168" t="s">
        <v>471</v>
      </c>
      <c r="D756" s="168" t="s">
        <v>450</v>
      </c>
      <c r="E756" s="168">
        <v>9</v>
      </c>
      <c r="F756" s="185">
        <f t="shared" si="63"/>
        <v>0</v>
      </c>
      <c r="G756" s="176">
        <v>0.602</v>
      </c>
      <c r="H756" s="170">
        <f t="shared" si="60"/>
        <v>0</v>
      </c>
      <c r="I756" s="168">
        <v>17.4</v>
      </c>
      <c r="J756" s="171">
        <f t="shared" si="61"/>
        <v>0</v>
      </c>
      <c r="K756" s="172">
        <f t="shared" si="62"/>
        <v>0</v>
      </c>
    </row>
    <row r="757" spans="2:11" ht="15">
      <c r="B757" s="144" t="s">
        <v>472</v>
      </c>
      <c r="C757" s="132" t="s">
        <v>471</v>
      </c>
      <c r="D757" s="132" t="s">
        <v>473</v>
      </c>
      <c r="E757" s="132">
        <v>9</v>
      </c>
      <c r="F757" s="185">
        <f t="shared" si="63"/>
        <v>0</v>
      </c>
      <c r="G757" s="175">
        <v>0.589</v>
      </c>
      <c r="H757" s="146">
        <f t="shared" si="60"/>
        <v>0</v>
      </c>
      <c r="I757" s="146">
        <v>10.2</v>
      </c>
      <c r="J757" s="147">
        <f t="shared" si="61"/>
        <v>0</v>
      </c>
      <c r="K757" s="148">
        <f t="shared" si="62"/>
        <v>0</v>
      </c>
    </row>
    <row r="758" spans="2:11" ht="15">
      <c r="B758" s="144" t="s">
        <v>474</v>
      </c>
      <c r="C758" s="132" t="s">
        <v>471</v>
      </c>
      <c r="D758" s="132" t="s">
        <v>475</v>
      </c>
      <c r="E758" s="132">
        <v>9</v>
      </c>
      <c r="F758" s="185">
        <f t="shared" si="63"/>
        <v>0</v>
      </c>
      <c r="G758" s="175">
        <v>0.585</v>
      </c>
      <c r="H758" s="146">
        <f t="shared" si="60"/>
        <v>0</v>
      </c>
      <c r="I758" s="146">
        <v>5</v>
      </c>
      <c r="J758" s="147">
        <f t="shared" si="61"/>
        <v>0</v>
      </c>
      <c r="K758" s="148">
        <f t="shared" si="62"/>
        <v>0</v>
      </c>
    </row>
    <row r="759" spans="2:11" ht="15">
      <c r="B759" s="144" t="s">
        <v>476</v>
      </c>
      <c r="C759" s="132" t="s">
        <v>447</v>
      </c>
      <c r="D759" s="132" t="s">
        <v>450</v>
      </c>
      <c r="E759" s="132">
        <v>9</v>
      </c>
      <c r="F759" s="185">
        <f t="shared" si="63"/>
        <v>0</v>
      </c>
      <c r="G759" s="175">
        <v>0.602</v>
      </c>
      <c r="H759" s="146">
        <f t="shared" si="60"/>
        <v>0</v>
      </c>
      <c r="I759" s="146">
        <v>11.7</v>
      </c>
      <c r="J759" s="147">
        <f t="shared" si="61"/>
        <v>0</v>
      </c>
      <c r="K759" s="148">
        <f t="shared" si="62"/>
        <v>0</v>
      </c>
    </row>
    <row r="760" spans="2:11" ht="15">
      <c r="B760" s="144" t="s">
        <v>477</v>
      </c>
      <c r="C760" s="132" t="s">
        <v>447</v>
      </c>
      <c r="D760" s="132" t="s">
        <v>473</v>
      </c>
      <c r="E760" s="132">
        <v>9</v>
      </c>
      <c r="F760" s="185">
        <f t="shared" si="63"/>
        <v>0</v>
      </c>
      <c r="G760" s="175">
        <v>0.589</v>
      </c>
      <c r="H760" s="146">
        <f t="shared" si="60"/>
        <v>0</v>
      </c>
      <c r="I760" s="146">
        <v>6.6</v>
      </c>
      <c r="J760" s="147">
        <f t="shared" si="61"/>
        <v>0</v>
      </c>
      <c r="K760" s="148">
        <f t="shared" si="62"/>
        <v>0</v>
      </c>
    </row>
    <row r="761" spans="2:11" ht="15">
      <c r="B761" s="144" t="s">
        <v>478</v>
      </c>
      <c r="C761" s="132" t="s">
        <v>447</v>
      </c>
      <c r="D761" s="132" t="s">
        <v>475</v>
      </c>
      <c r="E761" s="132">
        <v>9</v>
      </c>
      <c r="F761" s="185">
        <f t="shared" si="63"/>
        <v>0</v>
      </c>
      <c r="G761" s="175">
        <v>0.585</v>
      </c>
      <c r="H761" s="146">
        <f t="shared" si="60"/>
        <v>0</v>
      </c>
      <c r="I761" s="146">
        <v>3.1</v>
      </c>
      <c r="J761" s="147">
        <f t="shared" si="61"/>
        <v>0</v>
      </c>
      <c r="K761" s="148">
        <f t="shared" si="62"/>
        <v>0</v>
      </c>
    </row>
    <row r="762" spans="2:11" ht="15">
      <c r="B762" s="167" t="s">
        <v>470</v>
      </c>
      <c r="C762" s="168" t="s">
        <v>471</v>
      </c>
      <c r="D762" s="168" t="s">
        <v>450</v>
      </c>
      <c r="E762" s="168">
        <v>10</v>
      </c>
      <c r="F762" s="185">
        <f t="shared" si="63"/>
        <v>0</v>
      </c>
      <c r="G762" s="176">
        <v>0.589</v>
      </c>
      <c r="H762" s="170">
        <f t="shared" si="60"/>
        <v>0</v>
      </c>
      <c r="I762" s="168">
        <v>19.3</v>
      </c>
      <c r="J762" s="171">
        <f t="shared" si="61"/>
        <v>0</v>
      </c>
      <c r="K762" s="172">
        <f t="shared" si="62"/>
        <v>0</v>
      </c>
    </row>
    <row r="763" spans="2:11" ht="15">
      <c r="B763" s="144" t="s">
        <v>472</v>
      </c>
      <c r="C763" s="132" t="s">
        <v>471</v>
      </c>
      <c r="D763" s="132" t="s">
        <v>473</v>
      </c>
      <c r="E763" s="132">
        <v>10</v>
      </c>
      <c r="F763" s="185">
        <f t="shared" si="63"/>
        <v>0</v>
      </c>
      <c r="G763" s="175">
        <v>0.576</v>
      </c>
      <c r="H763" s="146">
        <f t="shared" si="60"/>
        <v>0</v>
      </c>
      <c r="I763" s="146">
        <v>11.2</v>
      </c>
      <c r="J763" s="147">
        <f t="shared" si="61"/>
        <v>0</v>
      </c>
      <c r="K763" s="148">
        <f t="shared" si="62"/>
        <v>0</v>
      </c>
    </row>
    <row r="764" spans="2:11" ht="15">
      <c r="B764" s="144" t="s">
        <v>474</v>
      </c>
      <c r="C764" s="132" t="s">
        <v>471</v>
      </c>
      <c r="D764" s="132" t="s">
        <v>475</v>
      </c>
      <c r="E764" s="132">
        <v>10</v>
      </c>
      <c r="F764" s="185">
        <f t="shared" si="63"/>
        <v>0</v>
      </c>
      <c r="G764" s="175">
        <v>0.568</v>
      </c>
      <c r="H764" s="146">
        <f t="shared" si="60"/>
        <v>0</v>
      </c>
      <c r="I764" s="146">
        <v>5.5</v>
      </c>
      <c r="J764" s="147">
        <f t="shared" si="61"/>
        <v>0</v>
      </c>
      <c r="K764" s="148">
        <f t="shared" si="62"/>
        <v>0</v>
      </c>
    </row>
    <row r="765" spans="2:11" ht="15">
      <c r="B765" s="144" t="s">
        <v>476</v>
      </c>
      <c r="C765" s="132" t="s">
        <v>447</v>
      </c>
      <c r="D765" s="132" t="s">
        <v>450</v>
      </c>
      <c r="E765" s="132">
        <v>10</v>
      </c>
      <c r="F765" s="185">
        <f t="shared" si="63"/>
        <v>0</v>
      </c>
      <c r="G765" s="175">
        <v>0.589</v>
      </c>
      <c r="H765" s="146">
        <f t="shared" si="60"/>
        <v>0</v>
      </c>
      <c r="I765" s="146">
        <v>13.2</v>
      </c>
      <c r="J765" s="147">
        <f t="shared" si="61"/>
        <v>0</v>
      </c>
      <c r="K765" s="148">
        <f t="shared" si="62"/>
        <v>0</v>
      </c>
    </row>
    <row r="766" spans="2:11" ht="15">
      <c r="B766" s="144" t="s">
        <v>477</v>
      </c>
      <c r="C766" s="132" t="s">
        <v>447</v>
      </c>
      <c r="D766" s="132" t="s">
        <v>473</v>
      </c>
      <c r="E766" s="132">
        <v>10</v>
      </c>
      <c r="F766" s="185">
        <f t="shared" si="63"/>
        <v>0</v>
      </c>
      <c r="G766" s="175">
        <v>0.576</v>
      </c>
      <c r="H766" s="146">
        <f aca="true" t="shared" si="64" ref="H766:H785">F766*G766</f>
        <v>0</v>
      </c>
      <c r="I766" s="146">
        <v>7.4</v>
      </c>
      <c r="J766" s="147">
        <f aca="true" t="shared" si="65" ref="J766:J785">H766*I766</f>
        <v>0</v>
      </c>
      <c r="K766" s="148">
        <f aca="true" t="shared" si="66" ref="K766:K786">J766/2000</f>
        <v>0</v>
      </c>
    </row>
    <row r="767" spans="2:11" ht="15">
      <c r="B767" s="144" t="s">
        <v>478</v>
      </c>
      <c r="C767" s="132" t="s">
        <v>447</v>
      </c>
      <c r="D767" s="132" t="s">
        <v>475</v>
      </c>
      <c r="E767" s="132">
        <v>10</v>
      </c>
      <c r="F767" s="185">
        <f t="shared" si="63"/>
        <v>0</v>
      </c>
      <c r="G767" s="175">
        <v>0.568</v>
      </c>
      <c r="H767" s="146">
        <f t="shared" si="64"/>
        <v>0</v>
      </c>
      <c r="I767" s="146">
        <v>3.5</v>
      </c>
      <c r="J767" s="147">
        <f t="shared" si="65"/>
        <v>0</v>
      </c>
      <c r="K767" s="148">
        <f t="shared" si="66"/>
        <v>0</v>
      </c>
    </row>
    <row r="768" spans="2:11" ht="15">
      <c r="B768" s="167" t="s">
        <v>470</v>
      </c>
      <c r="C768" s="168" t="s">
        <v>471</v>
      </c>
      <c r="D768" s="168" t="s">
        <v>450</v>
      </c>
      <c r="E768" s="168">
        <v>11</v>
      </c>
      <c r="F768" s="185">
        <f t="shared" si="63"/>
        <v>0</v>
      </c>
      <c r="G768" s="176">
        <v>0.576</v>
      </c>
      <c r="H768" s="170">
        <f t="shared" si="64"/>
        <v>0</v>
      </c>
      <c r="I768" s="168">
        <v>21.3</v>
      </c>
      <c r="J768" s="171">
        <f t="shared" si="65"/>
        <v>0</v>
      </c>
      <c r="K768" s="172">
        <f t="shared" si="66"/>
        <v>0</v>
      </c>
    </row>
    <row r="769" spans="2:11" ht="15">
      <c r="B769" s="144" t="s">
        <v>472</v>
      </c>
      <c r="C769" s="132" t="s">
        <v>471</v>
      </c>
      <c r="D769" s="132" t="s">
        <v>473</v>
      </c>
      <c r="E769" s="132">
        <v>11</v>
      </c>
      <c r="F769" s="185">
        <f t="shared" si="63"/>
        <v>0</v>
      </c>
      <c r="G769" s="175">
        <v>0.564</v>
      </c>
      <c r="H769" s="146">
        <f t="shared" si="64"/>
        <v>0</v>
      </c>
      <c r="I769" s="146">
        <v>12.3</v>
      </c>
      <c r="J769" s="147">
        <f t="shared" si="65"/>
        <v>0</v>
      </c>
      <c r="K769" s="148">
        <f t="shared" si="66"/>
        <v>0</v>
      </c>
    </row>
    <row r="770" spans="2:11" ht="15">
      <c r="B770" s="144" t="s">
        <v>474</v>
      </c>
      <c r="C770" s="132" t="s">
        <v>471</v>
      </c>
      <c r="D770" s="132" t="s">
        <v>475</v>
      </c>
      <c r="E770" s="132">
        <v>11</v>
      </c>
      <c r="F770" s="185">
        <f t="shared" si="63"/>
        <v>0</v>
      </c>
      <c r="G770" s="175">
        <v>0.552</v>
      </c>
      <c r="H770" s="146">
        <f t="shared" si="64"/>
        <v>0</v>
      </c>
      <c r="I770" s="146">
        <v>6</v>
      </c>
      <c r="J770" s="147">
        <f t="shared" si="65"/>
        <v>0</v>
      </c>
      <c r="K770" s="148">
        <f t="shared" si="66"/>
        <v>0</v>
      </c>
    </row>
    <row r="771" spans="2:11" ht="15">
      <c r="B771" s="144" t="s">
        <v>476</v>
      </c>
      <c r="C771" s="132" t="s">
        <v>447</v>
      </c>
      <c r="D771" s="132" t="s">
        <v>450</v>
      </c>
      <c r="E771" s="132">
        <v>11</v>
      </c>
      <c r="F771" s="185">
        <f t="shared" si="63"/>
        <v>0</v>
      </c>
      <c r="G771" s="175">
        <v>0.576</v>
      </c>
      <c r="H771" s="146">
        <f t="shared" si="64"/>
        <v>0</v>
      </c>
      <c r="I771" s="146">
        <v>14.7</v>
      </c>
      <c r="J771" s="147">
        <f t="shared" si="65"/>
        <v>0</v>
      </c>
      <c r="K771" s="148">
        <f t="shared" si="66"/>
        <v>0</v>
      </c>
    </row>
    <row r="772" spans="2:11" ht="15">
      <c r="B772" s="144" t="s">
        <v>477</v>
      </c>
      <c r="C772" s="132" t="s">
        <v>447</v>
      </c>
      <c r="D772" s="132" t="s">
        <v>473</v>
      </c>
      <c r="E772" s="132">
        <v>11</v>
      </c>
      <c r="F772" s="185">
        <f t="shared" si="63"/>
        <v>0</v>
      </c>
      <c r="G772" s="175">
        <v>0.564</v>
      </c>
      <c r="H772" s="146">
        <f t="shared" si="64"/>
        <v>0</v>
      </c>
      <c r="I772" s="146">
        <v>8.2</v>
      </c>
      <c r="J772" s="147">
        <f t="shared" si="65"/>
        <v>0</v>
      </c>
      <c r="K772" s="148">
        <f t="shared" si="66"/>
        <v>0</v>
      </c>
    </row>
    <row r="773" spans="2:11" ht="15">
      <c r="B773" s="144" t="s">
        <v>478</v>
      </c>
      <c r="C773" s="132" t="s">
        <v>447</v>
      </c>
      <c r="D773" s="132" t="s">
        <v>475</v>
      </c>
      <c r="E773" s="132">
        <v>11</v>
      </c>
      <c r="F773" s="185">
        <f aca="true" t="shared" si="67" ref="F773:F785">+F680</f>
        <v>0</v>
      </c>
      <c r="G773" s="175">
        <v>0.552</v>
      </c>
      <c r="H773" s="146">
        <f t="shared" si="64"/>
        <v>0</v>
      </c>
      <c r="I773" s="146">
        <v>3.8</v>
      </c>
      <c r="J773" s="147">
        <f t="shared" si="65"/>
        <v>0</v>
      </c>
      <c r="K773" s="148">
        <f t="shared" si="66"/>
        <v>0</v>
      </c>
    </row>
    <row r="774" spans="2:11" ht="15">
      <c r="B774" s="167" t="s">
        <v>470</v>
      </c>
      <c r="C774" s="168" t="s">
        <v>471</v>
      </c>
      <c r="D774" s="168" t="s">
        <v>450</v>
      </c>
      <c r="E774" s="168">
        <v>12</v>
      </c>
      <c r="F774" s="185">
        <f t="shared" si="67"/>
        <v>0</v>
      </c>
      <c r="G774" s="176">
        <v>0.563</v>
      </c>
      <c r="H774" s="170">
        <f t="shared" si="64"/>
        <v>0</v>
      </c>
      <c r="I774" s="168">
        <v>23.3</v>
      </c>
      <c r="J774" s="171">
        <f t="shared" si="65"/>
        <v>0</v>
      </c>
      <c r="K774" s="172">
        <f t="shared" si="66"/>
        <v>0</v>
      </c>
    </row>
    <row r="775" spans="2:11" ht="15">
      <c r="B775" s="144" t="s">
        <v>472</v>
      </c>
      <c r="C775" s="132" t="s">
        <v>471</v>
      </c>
      <c r="D775" s="132" t="s">
        <v>473</v>
      </c>
      <c r="E775" s="132">
        <v>12</v>
      </c>
      <c r="F775" s="185">
        <f t="shared" si="67"/>
        <v>0</v>
      </c>
      <c r="G775" s="175">
        <v>0.551</v>
      </c>
      <c r="H775" s="146">
        <f t="shared" si="64"/>
        <v>0</v>
      </c>
      <c r="I775" s="146">
        <v>13.5</v>
      </c>
      <c r="J775" s="147">
        <f t="shared" si="65"/>
        <v>0</v>
      </c>
      <c r="K775" s="148">
        <f t="shared" si="66"/>
        <v>0</v>
      </c>
    </row>
    <row r="776" spans="2:11" ht="15">
      <c r="B776" s="144" t="s">
        <v>474</v>
      </c>
      <c r="C776" s="132" t="s">
        <v>471</v>
      </c>
      <c r="D776" s="132" t="s">
        <v>475</v>
      </c>
      <c r="E776" s="132">
        <v>12</v>
      </c>
      <c r="F776" s="185">
        <f t="shared" si="67"/>
        <v>0</v>
      </c>
      <c r="G776" s="175">
        <v>0.536</v>
      </c>
      <c r="H776" s="146">
        <f t="shared" si="64"/>
        <v>0</v>
      </c>
      <c r="I776" s="146">
        <v>6.5</v>
      </c>
      <c r="J776" s="147">
        <f t="shared" si="65"/>
        <v>0</v>
      </c>
      <c r="K776" s="148">
        <f t="shared" si="66"/>
        <v>0</v>
      </c>
    </row>
    <row r="777" spans="2:11" ht="15">
      <c r="B777" s="144" t="s">
        <v>476</v>
      </c>
      <c r="C777" s="132" t="s">
        <v>447</v>
      </c>
      <c r="D777" s="132" t="s">
        <v>450</v>
      </c>
      <c r="E777" s="132">
        <v>12</v>
      </c>
      <c r="F777" s="185">
        <f t="shared" si="67"/>
        <v>0</v>
      </c>
      <c r="G777" s="175">
        <v>0.563</v>
      </c>
      <c r="H777" s="146">
        <f t="shared" si="64"/>
        <v>0</v>
      </c>
      <c r="I777" s="146">
        <v>16.3</v>
      </c>
      <c r="J777" s="147">
        <f t="shared" si="65"/>
        <v>0</v>
      </c>
      <c r="K777" s="148">
        <f t="shared" si="66"/>
        <v>0</v>
      </c>
    </row>
    <row r="778" spans="2:11" ht="15">
      <c r="B778" s="144" t="s">
        <v>477</v>
      </c>
      <c r="C778" s="132" t="s">
        <v>447</v>
      </c>
      <c r="D778" s="132" t="s">
        <v>473</v>
      </c>
      <c r="E778" s="132">
        <v>12</v>
      </c>
      <c r="F778" s="185">
        <f t="shared" si="67"/>
        <v>0</v>
      </c>
      <c r="G778" s="175">
        <v>0.551</v>
      </c>
      <c r="H778" s="146">
        <f t="shared" si="64"/>
        <v>0</v>
      </c>
      <c r="I778" s="146">
        <v>9.1</v>
      </c>
      <c r="J778" s="147">
        <f t="shared" si="65"/>
        <v>0</v>
      </c>
      <c r="K778" s="148">
        <f t="shared" si="66"/>
        <v>0</v>
      </c>
    </row>
    <row r="779" spans="2:11" ht="15">
      <c r="B779" s="144" t="s">
        <v>478</v>
      </c>
      <c r="C779" s="132" t="s">
        <v>447</v>
      </c>
      <c r="D779" s="132" t="s">
        <v>475</v>
      </c>
      <c r="E779" s="132">
        <v>12</v>
      </c>
      <c r="F779" s="185">
        <f t="shared" si="67"/>
        <v>0</v>
      </c>
      <c r="G779" s="175">
        <v>0.536</v>
      </c>
      <c r="H779" s="146">
        <f t="shared" si="64"/>
        <v>0</v>
      </c>
      <c r="I779" s="146">
        <v>4.2</v>
      </c>
      <c r="J779" s="147">
        <f t="shared" si="65"/>
        <v>0</v>
      </c>
      <c r="K779" s="148">
        <f t="shared" si="66"/>
        <v>0</v>
      </c>
    </row>
    <row r="780" spans="2:11" ht="15">
      <c r="B780" s="167" t="s">
        <v>470</v>
      </c>
      <c r="C780" s="168" t="s">
        <v>471</v>
      </c>
      <c r="D780" s="168" t="s">
        <v>450</v>
      </c>
      <c r="E780" s="168">
        <v>13</v>
      </c>
      <c r="F780" s="185">
        <f t="shared" si="67"/>
        <v>0</v>
      </c>
      <c r="G780" s="176">
        <v>0.551</v>
      </c>
      <c r="H780" s="170">
        <f t="shared" si="64"/>
        <v>0</v>
      </c>
      <c r="I780" s="168">
        <v>25.4</v>
      </c>
      <c r="J780" s="171">
        <f t="shared" si="65"/>
        <v>0</v>
      </c>
      <c r="K780" s="172">
        <f t="shared" si="66"/>
        <v>0</v>
      </c>
    </row>
    <row r="781" spans="2:11" ht="15">
      <c r="B781" s="144" t="s">
        <v>472</v>
      </c>
      <c r="C781" s="132" t="s">
        <v>471</v>
      </c>
      <c r="D781" s="132" t="s">
        <v>473</v>
      </c>
      <c r="E781" s="132">
        <v>13</v>
      </c>
      <c r="F781" s="185">
        <f t="shared" si="67"/>
        <v>0</v>
      </c>
      <c r="G781" s="175">
        <v>0.539</v>
      </c>
      <c r="H781" s="146">
        <f t="shared" si="64"/>
        <v>0</v>
      </c>
      <c r="I781" s="146">
        <v>14.6</v>
      </c>
      <c r="J781" s="147">
        <f t="shared" si="65"/>
        <v>0</v>
      </c>
      <c r="K781" s="148">
        <f t="shared" si="66"/>
        <v>0</v>
      </c>
    </row>
    <row r="782" spans="2:11" ht="15">
      <c r="B782" s="144" t="s">
        <v>474</v>
      </c>
      <c r="C782" s="132" t="s">
        <v>471</v>
      </c>
      <c r="D782" s="132" t="s">
        <v>475</v>
      </c>
      <c r="E782" s="132">
        <v>13</v>
      </c>
      <c r="F782" s="185">
        <f t="shared" si="67"/>
        <v>0</v>
      </c>
      <c r="G782" s="175">
        <v>0.524</v>
      </c>
      <c r="H782" s="146">
        <f t="shared" si="64"/>
        <v>0</v>
      </c>
      <c r="I782" s="146">
        <v>7</v>
      </c>
      <c r="J782" s="147">
        <f t="shared" si="65"/>
        <v>0</v>
      </c>
      <c r="K782" s="148">
        <f t="shared" si="66"/>
        <v>0</v>
      </c>
    </row>
    <row r="783" spans="2:11" ht="15">
      <c r="B783" s="144" t="s">
        <v>476</v>
      </c>
      <c r="C783" s="132" t="s">
        <v>447</v>
      </c>
      <c r="D783" s="132" t="s">
        <v>450</v>
      </c>
      <c r="E783" s="132">
        <v>13</v>
      </c>
      <c r="F783" s="185">
        <f t="shared" si="67"/>
        <v>0</v>
      </c>
      <c r="G783" s="175">
        <v>0.551</v>
      </c>
      <c r="H783" s="146">
        <f t="shared" si="64"/>
        <v>0</v>
      </c>
      <c r="I783" s="146">
        <v>17.9</v>
      </c>
      <c r="J783" s="147">
        <f t="shared" si="65"/>
        <v>0</v>
      </c>
      <c r="K783" s="148">
        <f t="shared" si="66"/>
        <v>0</v>
      </c>
    </row>
    <row r="784" spans="2:11" ht="15">
      <c r="B784" s="144" t="s">
        <v>477</v>
      </c>
      <c r="C784" s="132" t="s">
        <v>447</v>
      </c>
      <c r="D784" s="132" t="s">
        <v>473</v>
      </c>
      <c r="E784" s="132">
        <v>13</v>
      </c>
      <c r="F784" s="185">
        <f t="shared" si="67"/>
        <v>0</v>
      </c>
      <c r="G784" s="175">
        <v>0.539</v>
      </c>
      <c r="H784" s="146">
        <f t="shared" si="64"/>
        <v>0</v>
      </c>
      <c r="I784" s="146">
        <v>9.9</v>
      </c>
      <c r="J784" s="147">
        <f t="shared" si="65"/>
        <v>0</v>
      </c>
      <c r="K784" s="148">
        <f t="shared" si="66"/>
        <v>0</v>
      </c>
    </row>
    <row r="785" spans="2:11" ht="15.75" thickBot="1">
      <c r="B785" s="144" t="s">
        <v>478</v>
      </c>
      <c r="C785" s="132" t="s">
        <v>447</v>
      </c>
      <c r="D785" s="132" t="s">
        <v>475</v>
      </c>
      <c r="E785" s="132">
        <v>13</v>
      </c>
      <c r="F785" s="185">
        <f t="shared" si="67"/>
        <v>0</v>
      </c>
      <c r="G785" s="175">
        <v>0.524</v>
      </c>
      <c r="H785" s="146">
        <f t="shared" si="64"/>
        <v>0</v>
      </c>
      <c r="I785" s="146">
        <v>4.6</v>
      </c>
      <c r="J785" s="147">
        <f t="shared" si="65"/>
        <v>0</v>
      </c>
      <c r="K785" s="148">
        <f t="shared" si="66"/>
        <v>0</v>
      </c>
    </row>
    <row r="786" spans="2:11" ht="15.75" thickTop="1">
      <c r="B786" s="149"/>
      <c r="C786" s="150"/>
      <c r="D786" s="150"/>
      <c r="E786" s="150"/>
      <c r="F786" s="150"/>
      <c r="G786" s="177"/>
      <c r="H786" s="150"/>
      <c r="I786" s="151" t="s">
        <v>479</v>
      </c>
      <c r="J786" s="152">
        <f>SUM(J702:J785)</f>
        <v>0</v>
      </c>
      <c r="K786" s="143">
        <f t="shared" si="66"/>
        <v>0</v>
      </c>
    </row>
    <row r="787" spans="2:11" ht="15">
      <c r="B787" s="153"/>
      <c r="C787" s="154"/>
      <c r="D787" s="154"/>
      <c r="E787" s="154"/>
      <c r="F787" s="154"/>
      <c r="G787" s="178"/>
      <c r="H787" s="155"/>
      <c r="I787" s="156"/>
      <c r="J787" s="157"/>
      <c r="K787" s="148"/>
    </row>
    <row r="788" spans="2:11" ht="15.75" thickBot="1">
      <c r="B788" s="158"/>
      <c r="C788" s="159"/>
      <c r="D788" s="159"/>
      <c r="E788" s="159"/>
      <c r="F788" s="159"/>
      <c r="G788" s="179"/>
      <c r="H788" s="160"/>
      <c r="I788" s="161" t="s">
        <v>480</v>
      </c>
      <c r="J788" s="162">
        <f>J786*(44/12)</f>
        <v>0</v>
      </c>
      <c r="K788" s="163">
        <f>J788/2000</f>
        <v>0</v>
      </c>
    </row>
    <row r="789" ht="15.75" thickTop="1"/>
    <row r="790" spans="2:11" ht="15.75" thickBot="1">
      <c r="B790" s="217" t="s">
        <v>494</v>
      </c>
      <c r="C790" s="217"/>
      <c r="D790" s="217"/>
      <c r="E790" s="217"/>
      <c r="F790" s="217"/>
      <c r="G790" s="217"/>
      <c r="H790"/>
      <c r="I790"/>
      <c r="J790"/>
      <c r="K790"/>
    </row>
    <row r="791" spans="2:11" ht="15.75" thickBot="1">
      <c r="B791"/>
      <c r="C791"/>
      <c r="D791"/>
      <c r="E791"/>
      <c r="F791"/>
      <c r="G791"/>
      <c r="H791"/>
      <c r="I791"/>
      <c r="J791"/>
      <c r="K791"/>
    </row>
    <row r="792" spans="2:11" ht="15.75" thickTop="1">
      <c r="B792" s="127" t="s">
        <v>445</v>
      </c>
      <c r="C792" s="128"/>
      <c r="D792" s="128"/>
      <c r="E792" s="129" t="s">
        <v>446</v>
      </c>
      <c r="F792" s="129" t="s">
        <v>447</v>
      </c>
      <c r="G792" s="174" t="s">
        <v>448</v>
      </c>
      <c r="H792" s="129" t="s">
        <v>449</v>
      </c>
      <c r="I792" s="129" t="s">
        <v>450</v>
      </c>
      <c r="J792" s="128" t="s">
        <v>451</v>
      </c>
      <c r="K792" s="173"/>
    </row>
    <row r="793" spans="2:11" ht="15">
      <c r="B793" s="130" t="s">
        <v>452</v>
      </c>
      <c r="C793" s="131" t="s">
        <v>453</v>
      </c>
      <c r="D793" s="131" t="s">
        <v>454</v>
      </c>
      <c r="E793" s="132" t="s">
        <v>455</v>
      </c>
      <c r="F793" s="132" t="s">
        <v>456</v>
      </c>
      <c r="G793" s="175" t="s">
        <v>457</v>
      </c>
      <c r="H793" s="132" t="s">
        <v>458</v>
      </c>
      <c r="I793" s="132" t="s">
        <v>459</v>
      </c>
      <c r="J793" s="133" t="s">
        <v>460</v>
      </c>
      <c r="K793" s="134"/>
    </row>
    <row r="794" spans="2:11" ht="15.75" thickBot="1">
      <c r="B794" s="180"/>
      <c r="C794" s="181" t="s">
        <v>461</v>
      </c>
      <c r="D794" s="181" t="s">
        <v>462</v>
      </c>
      <c r="E794" s="181" t="s">
        <v>463</v>
      </c>
      <c r="F794" s="181" t="s">
        <v>464</v>
      </c>
      <c r="G794" s="182" t="s">
        <v>465</v>
      </c>
      <c r="H794" s="183" t="s">
        <v>466</v>
      </c>
      <c r="I794" s="183" t="s">
        <v>467</v>
      </c>
      <c r="J794" s="137" t="s">
        <v>468</v>
      </c>
      <c r="K794" s="138" t="s">
        <v>469</v>
      </c>
    </row>
    <row r="795" spans="2:11" ht="15.75" thickTop="1">
      <c r="B795" s="167" t="s">
        <v>470</v>
      </c>
      <c r="C795" s="168" t="s">
        <v>471</v>
      </c>
      <c r="D795" s="168" t="s">
        <v>450</v>
      </c>
      <c r="E795" s="168">
        <v>0</v>
      </c>
      <c r="F795" s="185">
        <f>+C30</f>
        <v>0</v>
      </c>
      <c r="G795" s="176">
        <v>0.873</v>
      </c>
      <c r="H795" s="170">
        <f aca="true" t="shared" si="68" ref="H795:H858">F795*G795</f>
        <v>0</v>
      </c>
      <c r="I795" s="168">
        <v>2.7</v>
      </c>
      <c r="J795" s="171">
        <f aca="true" t="shared" si="69" ref="J795:J858">H795*I795</f>
        <v>0</v>
      </c>
      <c r="K795" s="172">
        <f aca="true" t="shared" si="70" ref="K795:K858">J795/2000</f>
        <v>0</v>
      </c>
    </row>
    <row r="796" spans="2:11" ht="15">
      <c r="B796" s="144" t="s">
        <v>472</v>
      </c>
      <c r="C796" s="132" t="s">
        <v>471</v>
      </c>
      <c r="D796" s="132" t="s">
        <v>473</v>
      </c>
      <c r="E796" s="132">
        <v>0</v>
      </c>
      <c r="F796" s="145">
        <f>+D30</f>
        <v>0</v>
      </c>
      <c r="G796" s="175">
        <v>0.873</v>
      </c>
      <c r="H796" s="146">
        <f t="shared" si="68"/>
        <v>0</v>
      </c>
      <c r="I796" s="146">
        <v>1.9</v>
      </c>
      <c r="J796" s="147">
        <f t="shared" si="69"/>
        <v>0</v>
      </c>
      <c r="K796" s="148">
        <f t="shared" si="70"/>
        <v>0</v>
      </c>
    </row>
    <row r="797" spans="2:11" ht="15">
      <c r="B797" s="144" t="s">
        <v>474</v>
      </c>
      <c r="C797" s="132" t="s">
        <v>471</v>
      </c>
      <c r="D797" s="132" t="s">
        <v>475</v>
      </c>
      <c r="E797" s="132">
        <v>0</v>
      </c>
      <c r="F797" s="145">
        <f>+E30</f>
        <v>0</v>
      </c>
      <c r="G797" s="175">
        <v>0.873</v>
      </c>
      <c r="H797" s="146">
        <f t="shared" si="68"/>
        <v>0</v>
      </c>
      <c r="I797" s="146">
        <v>1.3</v>
      </c>
      <c r="J797" s="147">
        <f t="shared" si="69"/>
        <v>0</v>
      </c>
      <c r="K797" s="148">
        <f t="shared" si="70"/>
        <v>0</v>
      </c>
    </row>
    <row r="798" spans="2:11" ht="15">
      <c r="B798" s="144" t="s">
        <v>476</v>
      </c>
      <c r="C798" s="132" t="s">
        <v>447</v>
      </c>
      <c r="D798" s="132" t="s">
        <v>450</v>
      </c>
      <c r="E798" s="132">
        <v>0</v>
      </c>
      <c r="F798" s="145">
        <f>+F30</f>
        <v>0</v>
      </c>
      <c r="G798" s="175">
        <v>0.873</v>
      </c>
      <c r="H798" s="146">
        <f t="shared" si="68"/>
        <v>0</v>
      </c>
      <c r="I798" s="146">
        <v>1.4</v>
      </c>
      <c r="J798" s="147">
        <f t="shared" si="69"/>
        <v>0</v>
      </c>
      <c r="K798" s="148">
        <f t="shared" si="70"/>
        <v>0</v>
      </c>
    </row>
    <row r="799" spans="2:11" ht="15">
      <c r="B799" s="144" t="s">
        <v>477</v>
      </c>
      <c r="C799" s="132" t="s">
        <v>447</v>
      </c>
      <c r="D799" s="132" t="s">
        <v>473</v>
      </c>
      <c r="E799" s="132">
        <v>0</v>
      </c>
      <c r="F799" s="145">
        <f>+G30</f>
        <v>0</v>
      </c>
      <c r="G799" s="175">
        <v>0.873</v>
      </c>
      <c r="H799" s="146">
        <f t="shared" si="68"/>
        <v>0</v>
      </c>
      <c r="I799" s="146">
        <v>1</v>
      </c>
      <c r="J799" s="147">
        <f t="shared" si="69"/>
        <v>0</v>
      </c>
      <c r="K799" s="148">
        <f t="shared" si="70"/>
        <v>0</v>
      </c>
    </row>
    <row r="800" spans="2:11" ht="15">
      <c r="B800" s="144" t="s">
        <v>478</v>
      </c>
      <c r="C800" s="132" t="s">
        <v>447</v>
      </c>
      <c r="D800" s="132" t="s">
        <v>475</v>
      </c>
      <c r="E800" s="132">
        <v>0</v>
      </c>
      <c r="F800" s="145">
        <f>+H30</f>
        <v>0</v>
      </c>
      <c r="G800" s="175">
        <v>0.873</v>
      </c>
      <c r="H800" s="146">
        <f t="shared" si="68"/>
        <v>0</v>
      </c>
      <c r="I800" s="146">
        <v>0.7</v>
      </c>
      <c r="J800" s="147">
        <f t="shared" si="69"/>
        <v>0</v>
      </c>
      <c r="K800" s="148">
        <f t="shared" si="70"/>
        <v>0</v>
      </c>
    </row>
    <row r="801" spans="2:11" ht="15">
      <c r="B801" s="167" t="s">
        <v>470</v>
      </c>
      <c r="C801" s="168" t="s">
        <v>471</v>
      </c>
      <c r="D801" s="168" t="s">
        <v>450</v>
      </c>
      <c r="E801" s="168">
        <v>1</v>
      </c>
      <c r="F801" s="185">
        <f>+F702</f>
        <v>0</v>
      </c>
      <c r="G801" s="176">
        <v>0.798</v>
      </c>
      <c r="H801" s="170">
        <f t="shared" si="68"/>
        <v>0</v>
      </c>
      <c r="I801" s="168">
        <v>4</v>
      </c>
      <c r="J801" s="171">
        <f t="shared" si="69"/>
        <v>0</v>
      </c>
      <c r="K801" s="172">
        <f t="shared" si="70"/>
        <v>0</v>
      </c>
    </row>
    <row r="802" spans="2:11" ht="15">
      <c r="B802" s="144" t="s">
        <v>472</v>
      </c>
      <c r="C802" s="132" t="s">
        <v>471</v>
      </c>
      <c r="D802" s="132" t="s">
        <v>473</v>
      </c>
      <c r="E802" s="132">
        <v>1</v>
      </c>
      <c r="F802" s="185">
        <f aca="true" t="shared" si="71" ref="F802:F865">+F703</f>
        <v>0</v>
      </c>
      <c r="G802" s="175">
        <v>0.798</v>
      </c>
      <c r="H802" s="146">
        <f t="shared" si="68"/>
        <v>0</v>
      </c>
      <c r="I802" s="146">
        <v>2.7</v>
      </c>
      <c r="J802" s="147">
        <f t="shared" si="69"/>
        <v>0</v>
      </c>
      <c r="K802" s="148">
        <f t="shared" si="70"/>
        <v>0</v>
      </c>
    </row>
    <row r="803" spans="2:11" ht="15">
      <c r="B803" s="144" t="s">
        <v>474</v>
      </c>
      <c r="C803" s="132" t="s">
        <v>471</v>
      </c>
      <c r="D803" s="132" t="s">
        <v>475</v>
      </c>
      <c r="E803" s="132">
        <v>1</v>
      </c>
      <c r="F803" s="185">
        <f t="shared" si="71"/>
        <v>0</v>
      </c>
      <c r="G803" s="175">
        <v>0.798</v>
      </c>
      <c r="H803" s="146">
        <f t="shared" si="68"/>
        <v>0</v>
      </c>
      <c r="I803" s="146">
        <v>1.6</v>
      </c>
      <c r="J803" s="147">
        <f t="shared" si="69"/>
        <v>0</v>
      </c>
      <c r="K803" s="148">
        <f t="shared" si="70"/>
        <v>0</v>
      </c>
    </row>
    <row r="804" spans="2:11" ht="15">
      <c r="B804" s="144" t="s">
        <v>476</v>
      </c>
      <c r="C804" s="132" t="s">
        <v>447</v>
      </c>
      <c r="D804" s="132" t="s">
        <v>450</v>
      </c>
      <c r="E804" s="132">
        <v>1</v>
      </c>
      <c r="F804" s="185">
        <f t="shared" si="71"/>
        <v>0</v>
      </c>
      <c r="G804" s="175">
        <v>0.798</v>
      </c>
      <c r="H804" s="146">
        <f t="shared" si="68"/>
        <v>0</v>
      </c>
      <c r="I804" s="146">
        <v>2.2</v>
      </c>
      <c r="J804" s="147">
        <f t="shared" si="69"/>
        <v>0</v>
      </c>
      <c r="K804" s="148">
        <f t="shared" si="70"/>
        <v>0</v>
      </c>
    </row>
    <row r="805" spans="2:11" ht="15">
      <c r="B805" s="144" t="s">
        <v>477</v>
      </c>
      <c r="C805" s="132" t="s">
        <v>447</v>
      </c>
      <c r="D805" s="132" t="s">
        <v>473</v>
      </c>
      <c r="E805" s="132">
        <v>1</v>
      </c>
      <c r="F805" s="185">
        <f t="shared" si="71"/>
        <v>0</v>
      </c>
      <c r="G805" s="175">
        <v>0.798</v>
      </c>
      <c r="H805" s="146">
        <f t="shared" si="68"/>
        <v>0</v>
      </c>
      <c r="I805" s="146">
        <v>1.5</v>
      </c>
      <c r="J805" s="147">
        <f t="shared" si="69"/>
        <v>0</v>
      </c>
      <c r="K805" s="148">
        <f t="shared" si="70"/>
        <v>0</v>
      </c>
    </row>
    <row r="806" spans="2:11" ht="15">
      <c r="B806" s="144" t="s">
        <v>478</v>
      </c>
      <c r="C806" s="132" t="s">
        <v>447</v>
      </c>
      <c r="D806" s="132" t="s">
        <v>475</v>
      </c>
      <c r="E806" s="132">
        <v>1</v>
      </c>
      <c r="F806" s="185">
        <f t="shared" si="71"/>
        <v>0</v>
      </c>
      <c r="G806" s="175">
        <v>0.798</v>
      </c>
      <c r="H806" s="146">
        <f t="shared" si="68"/>
        <v>0</v>
      </c>
      <c r="I806" s="146">
        <v>0.9</v>
      </c>
      <c r="J806" s="147">
        <f t="shared" si="69"/>
        <v>0</v>
      </c>
      <c r="K806" s="148">
        <f t="shared" si="70"/>
        <v>0</v>
      </c>
    </row>
    <row r="807" spans="2:11" ht="15">
      <c r="B807" s="167" t="s">
        <v>470</v>
      </c>
      <c r="C807" s="168" t="s">
        <v>471</v>
      </c>
      <c r="D807" s="168" t="s">
        <v>450</v>
      </c>
      <c r="E807" s="168">
        <v>2</v>
      </c>
      <c r="F807" s="185">
        <f t="shared" si="71"/>
        <v>0</v>
      </c>
      <c r="G807" s="176">
        <v>0.736</v>
      </c>
      <c r="H807" s="170">
        <f t="shared" si="68"/>
        <v>0</v>
      </c>
      <c r="I807" s="168">
        <v>5.4</v>
      </c>
      <c r="J807" s="171">
        <f t="shared" si="69"/>
        <v>0</v>
      </c>
      <c r="K807" s="172">
        <f t="shared" si="70"/>
        <v>0</v>
      </c>
    </row>
    <row r="808" spans="2:11" ht="15">
      <c r="B808" s="144" t="s">
        <v>472</v>
      </c>
      <c r="C808" s="132" t="s">
        <v>471</v>
      </c>
      <c r="D808" s="132" t="s">
        <v>473</v>
      </c>
      <c r="E808" s="132">
        <v>2</v>
      </c>
      <c r="F808" s="185">
        <f t="shared" si="71"/>
        <v>0</v>
      </c>
      <c r="G808" s="175">
        <v>0.736</v>
      </c>
      <c r="H808" s="146">
        <f t="shared" si="68"/>
        <v>0</v>
      </c>
      <c r="I808" s="146">
        <v>3.5</v>
      </c>
      <c r="J808" s="147">
        <f t="shared" si="69"/>
        <v>0</v>
      </c>
      <c r="K808" s="148">
        <f t="shared" si="70"/>
        <v>0</v>
      </c>
    </row>
    <row r="809" spans="2:11" ht="15">
      <c r="B809" s="144" t="s">
        <v>474</v>
      </c>
      <c r="C809" s="132" t="s">
        <v>471</v>
      </c>
      <c r="D809" s="132" t="s">
        <v>475</v>
      </c>
      <c r="E809" s="132">
        <v>2</v>
      </c>
      <c r="F809" s="185">
        <f t="shared" si="71"/>
        <v>0</v>
      </c>
      <c r="G809" s="175">
        <v>0.736</v>
      </c>
      <c r="H809" s="146">
        <f t="shared" si="68"/>
        <v>0</v>
      </c>
      <c r="I809" s="146">
        <v>2</v>
      </c>
      <c r="J809" s="147">
        <f t="shared" si="69"/>
        <v>0</v>
      </c>
      <c r="K809" s="148">
        <f t="shared" si="70"/>
        <v>0</v>
      </c>
    </row>
    <row r="810" spans="2:11" ht="15">
      <c r="B810" s="144" t="s">
        <v>476</v>
      </c>
      <c r="C810" s="132" t="s">
        <v>447</v>
      </c>
      <c r="D810" s="132" t="s">
        <v>450</v>
      </c>
      <c r="E810" s="132">
        <v>2</v>
      </c>
      <c r="F810" s="185">
        <f t="shared" si="71"/>
        <v>0</v>
      </c>
      <c r="G810" s="175">
        <v>0.736</v>
      </c>
      <c r="H810" s="146">
        <f t="shared" si="68"/>
        <v>0</v>
      </c>
      <c r="I810" s="146">
        <v>3.1</v>
      </c>
      <c r="J810" s="147">
        <f t="shared" si="69"/>
        <v>0</v>
      </c>
      <c r="K810" s="148">
        <f t="shared" si="70"/>
        <v>0</v>
      </c>
    </row>
    <row r="811" spans="2:11" ht="15">
      <c r="B811" s="144" t="s">
        <v>477</v>
      </c>
      <c r="C811" s="132" t="s">
        <v>447</v>
      </c>
      <c r="D811" s="132" t="s">
        <v>473</v>
      </c>
      <c r="E811" s="132">
        <v>2</v>
      </c>
      <c r="F811" s="185">
        <f t="shared" si="71"/>
        <v>0</v>
      </c>
      <c r="G811" s="175">
        <v>0.736</v>
      </c>
      <c r="H811" s="146">
        <f t="shared" si="68"/>
        <v>0</v>
      </c>
      <c r="I811" s="146">
        <v>2</v>
      </c>
      <c r="J811" s="147">
        <f t="shared" si="69"/>
        <v>0</v>
      </c>
      <c r="K811" s="148">
        <f t="shared" si="70"/>
        <v>0</v>
      </c>
    </row>
    <row r="812" spans="2:11" ht="15">
      <c r="B812" s="144" t="s">
        <v>478</v>
      </c>
      <c r="C812" s="132" t="s">
        <v>447</v>
      </c>
      <c r="D812" s="132" t="s">
        <v>475</v>
      </c>
      <c r="E812" s="132">
        <v>2</v>
      </c>
      <c r="F812" s="185">
        <f t="shared" si="71"/>
        <v>0</v>
      </c>
      <c r="G812" s="175">
        <v>0.736</v>
      </c>
      <c r="H812" s="146">
        <f t="shared" si="68"/>
        <v>0</v>
      </c>
      <c r="I812" s="146">
        <v>1.1</v>
      </c>
      <c r="J812" s="147">
        <f t="shared" si="69"/>
        <v>0</v>
      </c>
      <c r="K812" s="148">
        <f t="shared" si="70"/>
        <v>0</v>
      </c>
    </row>
    <row r="813" spans="2:11" ht="15">
      <c r="B813" s="167" t="s">
        <v>470</v>
      </c>
      <c r="C813" s="168" t="s">
        <v>471</v>
      </c>
      <c r="D813" s="168" t="s">
        <v>450</v>
      </c>
      <c r="E813" s="168">
        <v>3</v>
      </c>
      <c r="F813" s="185">
        <f t="shared" si="71"/>
        <v>0</v>
      </c>
      <c r="G813" s="176">
        <v>0.706</v>
      </c>
      <c r="H813" s="170">
        <f t="shared" si="68"/>
        <v>0</v>
      </c>
      <c r="I813" s="168">
        <v>6.9</v>
      </c>
      <c r="J813" s="171">
        <f t="shared" si="69"/>
        <v>0</v>
      </c>
      <c r="K813" s="172">
        <f t="shared" si="70"/>
        <v>0</v>
      </c>
    </row>
    <row r="814" spans="2:11" ht="15">
      <c r="B814" s="144" t="s">
        <v>472</v>
      </c>
      <c r="C814" s="132" t="s">
        <v>471</v>
      </c>
      <c r="D814" s="132" t="s">
        <v>473</v>
      </c>
      <c r="E814" s="132">
        <v>3</v>
      </c>
      <c r="F814" s="185">
        <f t="shared" si="71"/>
        <v>0</v>
      </c>
      <c r="G814" s="175">
        <v>0.706</v>
      </c>
      <c r="H814" s="146">
        <f t="shared" si="68"/>
        <v>0</v>
      </c>
      <c r="I814" s="146">
        <v>4.3</v>
      </c>
      <c r="J814" s="147">
        <f t="shared" si="69"/>
        <v>0</v>
      </c>
      <c r="K814" s="148">
        <f t="shared" si="70"/>
        <v>0</v>
      </c>
    </row>
    <row r="815" spans="2:11" ht="15">
      <c r="B815" s="144" t="s">
        <v>474</v>
      </c>
      <c r="C815" s="132" t="s">
        <v>471</v>
      </c>
      <c r="D815" s="132" t="s">
        <v>475</v>
      </c>
      <c r="E815" s="132">
        <v>3</v>
      </c>
      <c r="F815" s="185">
        <f t="shared" si="71"/>
        <v>0</v>
      </c>
      <c r="G815" s="175">
        <v>0.706</v>
      </c>
      <c r="H815" s="146">
        <f t="shared" si="68"/>
        <v>0</v>
      </c>
      <c r="I815" s="146">
        <v>2.4</v>
      </c>
      <c r="J815" s="147">
        <f t="shared" si="69"/>
        <v>0</v>
      </c>
      <c r="K815" s="148">
        <f t="shared" si="70"/>
        <v>0</v>
      </c>
    </row>
    <row r="816" spans="2:11" ht="15">
      <c r="B816" s="144" t="s">
        <v>476</v>
      </c>
      <c r="C816" s="132" t="s">
        <v>447</v>
      </c>
      <c r="D816" s="132" t="s">
        <v>450</v>
      </c>
      <c r="E816" s="132">
        <v>3</v>
      </c>
      <c r="F816" s="185">
        <f t="shared" si="71"/>
        <v>0</v>
      </c>
      <c r="G816" s="175">
        <v>0.706</v>
      </c>
      <c r="H816" s="146">
        <f t="shared" si="68"/>
        <v>0</v>
      </c>
      <c r="I816" s="146">
        <v>4.1</v>
      </c>
      <c r="J816" s="147">
        <f t="shared" si="69"/>
        <v>0</v>
      </c>
      <c r="K816" s="148">
        <f t="shared" si="70"/>
        <v>0</v>
      </c>
    </row>
    <row r="817" spans="2:11" ht="15">
      <c r="B817" s="144" t="s">
        <v>477</v>
      </c>
      <c r="C817" s="132" t="s">
        <v>447</v>
      </c>
      <c r="D817" s="132" t="s">
        <v>473</v>
      </c>
      <c r="E817" s="132">
        <v>3</v>
      </c>
      <c r="F817" s="185">
        <f t="shared" si="71"/>
        <v>0</v>
      </c>
      <c r="G817" s="175">
        <v>0.706</v>
      </c>
      <c r="H817" s="146">
        <f t="shared" si="68"/>
        <v>0</v>
      </c>
      <c r="I817" s="146">
        <v>2.5</v>
      </c>
      <c r="J817" s="147">
        <f t="shared" si="69"/>
        <v>0</v>
      </c>
      <c r="K817" s="148">
        <f t="shared" si="70"/>
        <v>0</v>
      </c>
    </row>
    <row r="818" spans="2:11" ht="15">
      <c r="B818" s="144" t="s">
        <v>478</v>
      </c>
      <c r="C818" s="132" t="s">
        <v>447</v>
      </c>
      <c r="D818" s="132" t="s">
        <v>475</v>
      </c>
      <c r="E818" s="132">
        <v>3</v>
      </c>
      <c r="F818" s="185">
        <f t="shared" si="71"/>
        <v>0</v>
      </c>
      <c r="G818" s="175">
        <v>0.706</v>
      </c>
      <c r="H818" s="146">
        <f t="shared" si="68"/>
        <v>0</v>
      </c>
      <c r="I818" s="146">
        <v>1.4</v>
      </c>
      <c r="J818" s="147">
        <f t="shared" si="69"/>
        <v>0</v>
      </c>
      <c r="K818" s="148">
        <f t="shared" si="70"/>
        <v>0</v>
      </c>
    </row>
    <row r="819" spans="2:11" ht="15">
      <c r="B819" s="167" t="s">
        <v>470</v>
      </c>
      <c r="C819" s="168" t="s">
        <v>471</v>
      </c>
      <c r="D819" s="168" t="s">
        <v>450</v>
      </c>
      <c r="E819" s="168">
        <v>4</v>
      </c>
      <c r="F819" s="185">
        <f t="shared" si="71"/>
        <v>0</v>
      </c>
      <c r="G819" s="176">
        <v>0.678</v>
      </c>
      <c r="H819" s="170">
        <f t="shared" si="68"/>
        <v>0</v>
      </c>
      <c r="I819" s="168">
        <v>8.5</v>
      </c>
      <c r="J819" s="171">
        <f t="shared" si="69"/>
        <v>0</v>
      </c>
      <c r="K819" s="172">
        <f t="shared" si="70"/>
        <v>0</v>
      </c>
    </row>
    <row r="820" spans="2:11" ht="15">
      <c r="B820" s="144" t="s">
        <v>472</v>
      </c>
      <c r="C820" s="132" t="s">
        <v>471</v>
      </c>
      <c r="D820" s="132" t="s">
        <v>473</v>
      </c>
      <c r="E820" s="132">
        <v>4</v>
      </c>
      <c r="F820" s="185">
        <f t="shared" si="71"/>
        <v>0</v>
      </c>
      <c r="G820" s="175">
        <v>0.678</v>
      </c>
      <c r="H820" s="146">
        <f t="shared" si="68"/>
        <v>0</v>
      </c>
      <c r="I820" s="146">
        <v>5.2</v>
      </c>
      <c r="J820" s="147">
        <f t="shared" si="69"/>
        <v>0</v>
      </c>
      <c r="K820" s="148">
        <f t="shared" si="70"/>
        <v>0</v>
      </c>
    </row>
    <row r="821" spans="2:11" ht="15">
      <c r="B821" s="144" t="s">
        <v>474</v>
      </c>
      <c r="C821" s="132" t="s">
        <v>471</v>
      </c>
      <c r="D821" s="132" t="s">
        <v>475</v>
      </c>
      <c r="E821" s="132">
        <v>4</v>
      </c>
      <c r="F821" s="185">
        <f t="shared" si="71"/>
        <v>0</v>
      </c>
      <c r="G821" s="175">
        <v>0.678</v>
      </c>
      <c r="H821" s="146">
        <f t="shared" si="68"/>
        <v>0</v>
      </c>
      <c r="I821" s="146">
        <v>2.8</v>
      </c>
      <c r="J821" s="147">
        <f t="shared" si="69"/>
        <v>0</v>
      </c>
      <c r="K821" s="148">
        <f t="shared" si="70"/>
        <v>0</v>
      </c>
    </row>
    <row r="822" spans="2:11" ht="15">
      <c r="B822" s="144" t="s">
        <v>476</v>
      </c>
      <c r="C822" s="132" t="s">
        <v>447</v>
      </c>
      <c r="D822" s="132" t="s">
        <v>450</v>
      </c>
      <c r="E822" s="132">
        <v>4</v>
      </c>
      <c r="F822" s="185">
        <f t="shared" si="71"/>
        <v>0</v>
      </c>
      <c r="G822" s="175">
        <v>0.678</v>
      </c>
      <c r="H822" s="146">
        <f t="shared" si="68"/>
        <v>0</v>
      </c>
      <c r="I822" s="146">
        <v>5.2</v>
      </c>
      <c r="J822" s="147">
        <f t="shared" si="69"/>
        <v>0</v>
      </c>
      <c r="K822" s="148">
        <f t="shared" si="70"/>
        <v>0</v>
      </c>
    </row>
    <row r="823" spans="2:11" ht="15">
      <c r="B823" s="144" t="s">
        <v>477</v>
      </c>
      <c r="C823" s="132" t="s">
        <v>447</v>
      </c>
      <c r="D823" s="132" t="s">
        <v>473</v>
      </c>
      <c r="E823" s="132">
        <v>4</v>
      </c>
      <c r="F823" s="185">
        <f t="shared" si="71"/>
        <v>0</v>
      </c>
      <c r="G823" s="175">
        <v>0.678</v>
      </c>
      <c r="H823" s="146">
        <f t="shared" si="68"/>
        <v>0</v>
      </c>
      <c r="I823" s="146">
        <v>3.1</v>
      </c>
      <c r="J823" s="147">
        <f t="shared" si="69"/>
        <v>0</v>
      </c>
      <c r="K823" s="148">
        <f t="shared" si="70"/>
        <v>0</v>
      </c>
    </row>
    <row r="824" spans="2:11" ht="15">
      <c r="B824" s="144" t="s">
        <v>478</v>
      </c>
      <c r="C824" s="132" t="s">
        <v>447</v>
      </c>
      <c r="D824" s="132" t="s">
        <v>475</v>
      </c>
      <c r="E824" s="132">
        <v>4</v>
      </c>
      <c r="F824" s="185">
        <f t="shared" si="71"/>
        <v>0</v>
      </c>
      <c r="G824" s="175">
        <v>0.678</v>
      </c>
      <c r="H824" s="146">
        <f t="shared" si="68"/>
        <v>0</v>
      </c>
      <c r="I824" s="146">
        <v>1.6</v>
      </c>
      <c r="J824" s="147">
        <f t="shared" si="69"/>
        <v>0</v>
      </c>
      <c r="K824" s="148">
        <f t="shared" si="70"/>
        <v>0</v>
      </c>
    </row>
    <row r="825" spans="2:11" ht="15">
      <c r="B825" s="167" t="s">
        <v>470</v>
      </c>
      <c r="C825" s="168" t="s">
        <v>471</v>
      </c>
      <c r="D825" s="168" t="s">
        <v>450</v>
      </c>
      <c r="E825" s="168">
        <v>5</v>
      </c>
      <c r="F825" s="185">
        <f t="shared" si="71"/>
        <v>0</v>
      </c>
      <c r="G825" s="176">
        <v>0.658</v>
      </c>
      <c r="H825" s="170">
        <f t="shared" si="68"/>
        <v>0</v>
      </c>
      <c r="I825" s="168">
        <v>10.1</v>
      </c>
      <c r="J825" s="171">
        <f t="shared" si="69"/>
        <v>0</v>
      </c>
      <c r="K825" s="172">
        <f t="shared" si="70"/>
        <v>0</v>
      </c>
    </row>
    <row r="826" spans="2:11" ht="15">
      <c r="B826" s="144" t="s">
        <v>472</v>
      </c>
      <c r="C826" s="132" t="s">
        <v>471</v>
      </c>
      <c r="D826" s="132" t="s">
        <v>473</v>
      </c>
      <c r="E826" s="132">
        <v>5</v>
      </c>
      <c r="F826" s="185">
        <f t="shared" si="71"/>
        <v>0</v>
      </c>
      <c r="G826" s="175">
        <v>0.658</v>
      </c>
      <c r="H826" s="146">
        <f t="shared" si="68"/>
        <v>0</v>
      </c>
      <c r="I826" s="146">
        <v>6.1</v>
      </c>
      <c r="J826" s="147">
        <f t="shared" si="69"/>
        <v>0</v>
      </c>
      <c r="K826" s="148">
        <f t="shared" si="70"/>
        <v>0</v>
      </c>
    </row>
    <row r="827" spans="2:11" ht="15">
      <c r="B827" s="144" t="s">
        <v>474</v>
      </c>
      <c r="C827" s="132" t="s">
        <v>471</v>
      </c>
      <c r="D827" s="132" t="s">
        <v>475</v>
      </c>
      <c r="E827" s="132">
        <v>5</v>
      </c>
      <c r="F827" s="185">
        <f t="shared" si="71"/>
        <v>0</v>
      </c>
      <c r="G827" s="175">
        <v>0.658</v>
      </c>
      <c r="H827" s="146">
        <f t="shared" si="68"/>
        <v>0</v>
      </c>
      <c r="I827" s="146">
        <v>3.2</v>
      </c>
      <c r="J827" s="147">
        <f t="shared" si="69"/>
        <v>0</v>
      </c>
      <c r="K827" s="148">
        <f t="shared" si="70"/>
        <v>0</v>
      </c>
    </row>
    <row r="828" spans="2:11" ht="15">
      <c r="B828" s="144" t="s">
        <v>476</v>
      </c>
      <c r="C828" s="132" t="s">
        <v>447</v>
      </c>
      <c r="D828" s="132" t="s">
        <v>450</v>
      </c>
      <c r="E828" s="132">
        <v>5</v>
      </c>
      <c r="F828" s="185">
        <f t="shared" si="71"/>
        <v>0</v>
      </c>
      <c r="G828" s="175">
        <v>0.658</v>
      </c>
      <c r="H828" s="146">
        <f t="shared" si="68"/>
        <v>0</v>
      </c>
      <c r="I828" s="146">
        <v>6.4</v>
      </c>
      <c r="J828" s="147">
        <f t="shared" si="69"/>
        <v>0</v>
      </c>
      <c r="K828" s="148">
        <f t="shared" si="70"/>
        <v>0</v>
      </c>
    </row>
    <row r="829" spans="2:11" ht="15">
      <c r="B829" s="144" t="s">
        <v>477</v>
      </c>
      <c r="C829" s="132" t="s">
        <v>447</v>
      </c>
      <c r="D829" s="132" t="s">
        <v>473</v>
      </c>
      <c r="E829" s="132">
        <v>5</v>
      </c>
      <c r="F829" s="185">
        <f t="shared" si="71"/>
        <v>0</v>
      </c>
      <c r="G829" s="175">
        <v>0.658</v>
      </c>
      <c r="H829" s="146">
        <f t="shared" si="68"/>
        <v>0</v>
      </c>
      <c r="I829" s="146">
        <v>3.7</v>
      </c>
      <c r="J829" s="147">
        <f t="shared" si="69"/>
        <v>0</v>
      </c>
      <c r="K829" s="148">
        <f t="shared" si="70"/>
        <v>0</v>
      </c>
    </row>
    <row r="830" spans="2:11" ht="15">
      <c r="B830" s="144" t="s">
        <v>478</v>
      </c>
      <c r="C830" s="132" t="s">
        <v>447</v>
      </c>
      <c r="D830" s="132" t="s">
        <v>475</v>
      </c>
      <c r="E830" s="132">
        <v>5</v>
      </c>
      <c r="F830" s="185">
        <f t="shared" si="71"/>
        <v>0</v>
      </c>
      <c r="G830" s="175">
        <v>0.658</v>
      </c>
      <c r="H830" s="146">
        <f t="shared" si="68"/>
        <v>0</v>
      </c>
      <c r="I830" s="146">
        <v>1.9</v>
      </c>
      <c r="J830" s="147">
        <f t="shared" si="69"/>
        <v>0</v>
      </c>
      <c r="K830" s="148">
        <f t="shared" si="70"/>
        <v>0</v>
      </c>
    </row>
    <row r="831" spans="2:11" ht="15">
      <c r="B831" s="167" t="s">
        <v>470</v>
      </c>
      <c r="C831" s="168" t="s">
        <v>471</v>
      </c>
      <c r="D831" s="168" t="s">
        <v>450</v>
      </c>
      <c r="E831" s="168">
        <v>6</v>
      </c>
      <c r="F831" s="185">
        <f t="shared" si="71"/>
        <v>0</v>
      </c>
      <c r="G831" s="176">
        <v>0.644</v>
      </c>
      <c r="H831" s="170">
        <f t="shared" si="68"/>
        <v>0</v>
      </c>
      <c r="I831" s="168">
        <v>11.8</v>
      </c>
      <c r="J831" s="171">
        <f t="shared" si="69"/>
        <v>0</v>
      </c>
      <c r="K831" s="172">
        <f t="shared" si="70"/>
        <v>0</v>
      </c>
    </row>
    <row r="832" spans="2:11" ht="15">
      <c r="B832" s="144" t="s">
        <v>472</v>
      </c>
      <c r="C832" s="132" t="s">
        <v>471</v>
      </c>
      <c r="D832" s="132" t="s">
        <v>473</v>
      </c>
      <c r="E832" s="132">
        <v>6</v>
      </c>
      <c r="F832" s="185">
        <f t="shared" si="71"/>
        <v>0</v>
      </c>
      <c r="G832" s="175">
        <v>0.639</v>
      </c>
      <c r="H832" s="146">
        <f t="shared" si="68"/>
        <v>0</v>
      </c>
      <c r="I832" s="146">
        <v>7.1</v>
      </c>
      <c r="J832" s="147">
        <f t="shared" si="69"/>
        <v>0</v>
      </c>
      <c r="K832" s="148">
        <f t="shared" si="70"/>
        <v>0</v>
      </c>
    </row>
    <row r="833" spans="2:11" ht="15">
      <c r="B833" s="144" t="s">
        <v>474</v>
      </c>
      <c r="C833" s="132" t="s">
        <v>471</v>
      </c>
      <c r="D833" s="132" t="s">
        <v>475</v>
      </c>
      <c r="E833" s="132">
        <v>6</v>
      </c>
      <c r="F833" s="185">
        <f t="shared" si="71"/>
        <v>0</v>
      </c>
      <c r="G833" s="175">
        <v>0.639</v>
      </c>
      <c r="H833" s="146">
        <f t="shared" si="68"/>
        <v>0</v>
      </c>
      <c r="I833" s="146">
        <v>3.7</v>
      </c>
      <c r="J833" s="147">
        <f t="shared" si="69"/>
        <v>0</v>
      </c>
      <c r="K833" s="148">
        <f t="shared" si="70"/>
        <v>0</v>
      </c>
    </row>
    <row r="834" spans="2:11" ht="15">
      <c r="B834" s="144" t="s">
        <v>476</v>
      </c>
      <c r="C834" s="132" t="s">
        <v>447</v>
      </c>
      <c r="D834" s="132" t="s">
        <v>450</v>
      </c>
      <c r="E834" s="132">
        <v>6</v>
      </c>
      <c r="F834" s="185">
        <f t="shared" si="71"/>
        <v>0</v>
      </c>
      <c r="G834" s="175">
        <v>0.644</v>
      </c>
      <c r="H834" s="146">
        <f t="shared" si="68"/>
        <v>0</v>
      </c>
      <c r="I834" s="146">
        <v>7.6</v>
      </c>
      <c r="J834" s="147">
        <f t="shared" si="69"/>
        <v>0</v>
      </c>
      <c r="K834" s="148">
        <f t="shared" si="70"/>
        <v>0</v>
      </c>
    </row>
    <row r="835" spans="2:11" ht="15">
      <c r="B835" s="144" t="s">
        <v>477</v>
      </c>
      <c r="C835" s="132" t="s">
        <v>447</v>
      </c>
      <c r="D835" s="132" t="s">
        <v>473</v>
      </c>
      <c r="E835" s="132">
        <v>6</v>
      </c>
      <c r="F835" s="185">
        <f t="shared" si="71"/>
        <v>0</v>
      </c>
      <c r="G835" s="175">
        <v>0.639</v>
      </c>
      <c r="H835" s="146">
        <f t="shared" si="68"/>
        <v>0</v>
      </c>
      <c r="I835" s="146">
        <v>4.4</v>
      </c>
      <c r="J835" s="147">
        <f t="shared" si="69"/>
        <v>0</v>
      </c>
      <c r="K835" s="148">
        <f t="shared" si="70"/>
        <v>0</v>
      </c>
    </row>
    <row r="836" spans="2:11" ht="15">
      <c r="B836" s="144" t="s">
        <v>478</v>
      </c>
      <c r="C836" s="132" t="s">
        <v>447</v>
      </c>
      <c r="D836" s="132" t="s">
        <v>475</v>
      </c>
      <c r="E836" s="132">
        <v>6</v>
      </c>
      <c r="F836" s="185">
        <f t="shared" si="71"/>
        <v>0</v>
      </c>
      <c r="G836" s="175">
        <v>0.639</v>
      </c>
      <c r="H836" s="146">
        <f t="shared" si="68"/>
        <v>0</v>
      </c>
      <c r="I836" s="146">
        <v>2.2</v>
      </c>
      <c r="J836" s="147">
        <f t="shared" si="69"/>
        <v>0</v>
      </c>
      <c r="K836" s="148">
        <f t="shared" si="70"/>
        <v>0</v>
      </c>
    </row>
    <row r="837" spans="2:11" ht="15">
      <c r="B837" s="167" t="s">
        <v>470</v>
      </c>
      <c r="C837" s="168" t="s">
        <v>471</v>
      </c>
      <c r="D837" s="168" t="s">
        <v>450</v>
      </c>
      <c r="E837" s="168">
        <v>7</v>
      </c>
      <c r="F837" s="185">
        <f t="shared" si="71"/>
        <v>0</v>
      </c>
      <c r="G837" s="176">
        <v>0.63</v>
      </c>
      <c r="H837" s="170">
        <f t="shared" si="68"/>
        <v>0</v>
      </c>
      <c r="I837" s="168">
        <v>13.6</v>
      </c>
      <c r="J837" s="171">
        <f t="shared" si="69"/>
        <v>0</v>
      </c>
      <c r="K837" s="172">
        <f t="shared" si="70"/>
        <v>0</v>
      </c>
    </row>
    <row r="838" spans="2:11" ht="15">
      <c r="B838" s="144" t="s">
        <v>472</v>
      </c>
      <c r="C838" s="132" t="s">
        <v>471</v>
      </c>
      <c r="D838" s="132" t="s">
        <v>473</v>
      </c>
      <c r="E838" s="132">
        <v>7</v>
      </c>
      <c r="F838" s="185">
        <f t="shared" si="71"/>
        <v>0</v>
      </c>
      <c r="G838" s="175">
        <v>0.621</v>
      </c>
      <c r="H838" s="146">
        <f t="shared" si="68"/>
        <v>0</v>
      </c>
      <c r="I838" s="146">
        <v>8.1</v>
      </c>
      <c r="J838" s="147">
        <f t="shared" si="69"/>
        <v>0</v>
      </c>
      <c r="K838" s="148">
        <f t="shared" si="70"/>
        <v>0</v>
      </c>
    </row>
    <row r="839" spans="2:11" ht="15">
      <c r="B839" s="144" t="s">
        <v>474</v>
      </c>
      <c r="C839" s="132" t="s">
        <v>471</v>
      </c>
      <c r="D839" s="132" t="s">
        <v>475</v>
      </c>
      <c r="E839" s="132">
        <v>7</v>
      </c>
      <c r="F839" s="185">
        <f t="shared" si="71"/>
        <v>0</v>
      </c>
      <c r="G839" s="175">
        <v>0.621</v>
      </c>
      <c r="H839" s="146">
        <f t="shared" si="68"/>
        <v>0</v>
      </c>
      <c r="I839" s="146">
        <v>4.1</v>
      </c>
      <c r="J839" s="147">
        <f t="shared" si="69"/>
        <v>0</v>
      </c>
      <c r="K839" s="148">
        <f t="shared" si="70"/>
        <v>0</v>
      </c>
    </row>
    <row r="840" spans="2:11" ht="15">
      <c r="B840" s="144" t="s">
        <v>476</v>
      </c>
      <c r="C840" s="132" t="s">
        <v>447</v>
      </c>
      <c r="D840" s="132" t="s">
        <v>450</v>
      </c>
      <c r="E840" s="132">
        <v>7</v>
      </c>
      <c r="F840" s="185">
        <f t="shared" si="71"/>
        <v>0</v>
      </c>
      <c r="G840" s="175">
        <v>0.63</v>
      </c>
      <c r="H840" s="146">
        <f t="shared" si="68"/>
        <v>0</v>
      </c>
      <c r="I840" s="146">
        <v>8.9</v>
      </c>
      <c r="J840" s="147">
        <f t="shared" si="69"/>
        <v>0</v>
      </c>
      <c r="K840" s="148">
        <f t="shared" si="70"/>
        <v>0</v>
      </c>
    </row>
    <row r="841" spans="2:11" ht="15">
      <c r="B841" s="144" t="s">
        <v>477</v>
      </c>
      <c r="C841" s="132" t="s">
        <v>447</v>
      </c>
      <c r="D841" s="132" t="s">
        <v>473</v>
      </c>
      <c r="E841" s="132">
        <v>7</v>
      </c>
      <c r="F841" s="185">
        <f t="shared" si="71"/>
        <v>0</v>
      </c>
      <c r="G841" s="175">
        <v>0.621</v>
      </c>
      <c r="H841" s="146">
        <f t="shared" si="68"/>
        <v>0</v>
      </c>
      <c r="I841" s="146">
        <v>5.1</v>
      </c>
      <c r="J841" s="147">
        <f t="shared" si="69"/>
        <v>0</v>
      </c>
      <c r="K841" s="148">
        <f t="shared" si="70"/>
        <v>0</v>
      </c>
    </row>
    <row r="842" spans="2:11" ht="15">
      <c r="B842" s="144" t="s">
        <v>478</v>
      </c>
      <c r="C842" s="132" t="s">
        <v>447</v>
      </c>
      <c r="D842" s="132" t="s">
        <v>475</v>
      </c>
      <c r="E842" s="132">
        <v>7</v>
      </c>
      <c r="F842" s="185">
        <f t="shared" si="71"/>
        <v>0</v>
      </c>
      <c r="G842" s="175">
        <v>0.621</v>
      </c>
      <c r="H842" s="146">
        <f t="shared" si="68"/>
        <v>0</v>
      </c>
      <c r="I842" s="146">
        <v>2.5</v>
      </c>
      <c r="J842" s="147">
        <f t="shared" si="69"/>
        <v>0</v>
      </c>
      <c r="K842" s="148">
        <f t="shared" si="70"/>
        <v>0</v>
      </c>
    </row>
    <row r="843" spans="2:11" ht="15">
      <c r="B843" s="167" t="s">
        <v>470</v>
      </c>
      <c r="C843" s="168" t="s">
        <v>471</v>
      </c>
      <c r="D843" s="168" t="s">
        <v>450</v>
      </c>
      <c r="E843" s="168">
        <v>8</v>
      </c>
      <c r="F843" s="185">
        <f t="shared" si="71"/>
        <v>0</v>
      </c>
      <c r="G843" s="176">
        <v>0.616</v>
      </c>
      <c r="H843" s="170">
        <f t="shared" si="68"/>
        <v>0</v>
      </c>
      <c r="I843" s="168">
        <v>15.5</v>
      </c>
      <c r="J843" s="171">
        <f t="shared" si="69"/>
        <v>0</v>
      </c>
      <c r="K843" s="172">
        <f t="shared" si="70"/>
        <v>0</v>
      </c>
    </row>
    <row r="844" spans="2:11" ht="15">
      <c r="B844" s="144" t="s">
        <v>472</v>
      </c>
      <c r="C844" s="132" t="s">
        <v>471</v>
      </c>
      <c r="D844" s="132" t="s">
        <v>473</v>
      </c>
      <c r="E844" s="132">
        <v>8</v>
      </c>
      <c r="F844" s="185">
        <f t="shared" si="71"/>
        <v>0</v>
      </c>
      <c r="G844" s="175">
        <v>0.603</v>
      </c>
      <c r="H844" s="146">
        <f t="shared" si="68"/>
        <v>0</v>
      </c>
      <c r="I844" s="146">
        <v>9.1</v>
      </c>
      <c r="J844" s="147">
        <f t="shared" si="69"/>
        <v>0</v>
      </c>
      <c r="K844" s="148">
        <f t="shared" si="70"/>
        <v>0</v>
      </c>
    </row>
    <row r="845" spans="2:11" ht="15">
      <c r="B845" s="144" t="s">
        <v>474</v>
      </c>
      <c r="C845" s="132" t="s">
        <v>471</v>
      </c>
      <c r="D845" s="132" t="s">
        <v>475</v>
      </c>
      <c r="E845" s="132">
        <v>8</v>
      </c>
      <c r="F845" s="185">
        <f t="shared" si="71"/>
        <v>0</v>
      </c>
      <c r="G845" s="175">
        <v>0.603</v>
      </c>
      <c r="H845" s="146">
        <f t="shared" si="68"/>
        <v>0</v>
      </c>
      <c r="I845" s="146">
        <v>4.6</v>
      </c>
      <c r="J845" s="147">
        <f t="shared" si="69"/>
        <v>0</v>
      </c>
      <c r="K845" s="148">
        <f t="shared" si="70"/>
        <v>0</v>
      </c>
    </row>
    <row r="846" spans="2:11" ht="15">
      <c r="B846" s="144" t="s">
        <v>476</v>
      </c>
      <c r="C846" s="132" t="s">
        <v>447</v>
      </c>
      <c r="D846" s="132" t="s">
        <v>450</v>
      </c>
      <c r="E846" s="132">
        <v>8</v>
      </c>
      <c r="F846" s="185">
        <f t="shared" si="71"/>
        <v>0</v>
      </c>
      <c r="G846" s="175">
        <v>0.616</v>
      </c>
      <c r="H846" s="146">
        <f t="shared" si="68"/>
        <v>0</v>
      </c>
      <c r="I846" s="146">
        <v>10.2</v>
      </c>
      <c r="J846" s="147">
        <f t="shared" si="69"/>
        <v>0</v>
      </c>
      <c r="K846" s="148">
        <f t="shared" si="70"/>
        <v>0</v>
      </c>
    </row>
    <row r="847" spans="2:11" ht="15">
      <c r="B847" s="144" t="s">
        <v>477</v>
      </c>
      <c r="C847" s="132" t="s">
        <v>447</v>
      </c>
      <c r="D847" s="132" t="s">
        <v>473</v>
      </c>
      <c r="E847" s="132">
        <v>8</v>
      </c>
      <c r="F847" s="185">
        <f t="shared" si="71"/>
        <v>0</v>
      </c>
      <c r="G847" s="175">
        <v>0.603</v>
      </c>
      <c r="H847" s="146">
        <f t="shared" si="68"/>
        <v>0</v>
      </c>
      <c r="I847" s="146">
        <v>5.8</v>
      </c>
      <c r="J847" s="147">
        <f t="shared" si="69"/>
        <v>0</v>
      </c>
      <c r="K847" s="148">
        <f t="shared" si="70"/>
        <v>0</v>
      </c>
    </row>
    <row r="848" spans="2:11" ht="15">
      <c r="B848" s="144" t="s">
        <v>478</v>
      </c>
      <c r="C848" s="132" t="s">
        <v>447</v>
      </c>
      <c r="D848" s="132" t="s">
        <v>475</v>
      </c>
      <c r="E848" s="132">
        <v>8</v>
      </c>
      <c r="F848" s="185">
        <f t="shared" si="71"/>
        <v>0</v>
      </c>
      <c r="G848" s="175">
        <v>0.603</v>
      </c>
      <c r="H848" s="146">
        <f t="shared" si="68"/>
        <v>0</v>
      </c>
      <c r="I848" s="146">
        <v>2.8</v>
      </c>
      <c r="J848" s="147">
        <f t="shared" si="69"/>
        <v>0</v>
      </c>
      <c r="K848" s="148">
        <f t="shared" si="70"/>
        <v>0</v>
      </c>
    </row>
    <row r="849" spans="2:11" ht="15">
      <c r="B849" s="167" t="s">
        <v>470</v>
      </c>
      <c r="C849" s="168" t="s">
        <v>471</v>
      </c>
      <c r="D849" s="168" t="s">
        <v>450</v>
      </c>
      <c r="E849" s="168">
        <v>9</v>
      </c>
      <c r="F849" s="185">
        <f t="shared" si="71"/>
        <v>0</v>
      </c>
      <c r="G849" s="176">
        <v>0.602</v>
      </c>
      <c r="H849" s="170">
        <f t="shared" si="68"/>
        <v>0</v>
      </c>
      <c r="I849" s="168">
        <v>17.4</v>
      </c>
      <c r="J849" s="171">
        <f t="shared" si="69"/>
        <v>0</v>
      </c>
      <c r="K849" s="172">
        <f t="shared" si="70"/>
        <v>0</v>
      </c>
    </row>
    <row r="850" spans="2:11" ht="15">
      <c r="B850" s="144" t="s">
        <v>472</v>
      </c>
      <c r="C850" s="132" t="s">
        <v>471</v>
      </c>
      <c r="D850" s="132" t="s">
        <v>473</v>
      </c>
      <c r="E850" s="132">
        <v>9</v>
      </c>
      <c r="F850" s="185">
        <f t="shared" si="71"/>
        <v>0</v>
      </c>
      <c r="G850" s="175">
        <v>0.589</v>
      </c>
      <c r="H850" s="146">
        <f t="shared" si="68"/>
        <v>0</v>
      </c>
      <c r="I850" s="146">
        <v>10.2</v>
      </c>
      <c r="J850" s="147">
        <f t="shared" si="69"/>
        <v>0</v>
      </c>
      <c r="K850" s="148">
        <f t="shared" si="70"/>
        <v>0</v>
      </c>
    </row>
    <row r="851" spans="2:11" ht="15">
      <c r="B851" s="144" t="s">
        <v>474</v>
      </c>
      <c r="C851" s="132" t="s">
        <v>471</v>
      </c>
      <c r="D851" s="132" t="s">
        <v>475</v>
      </c>
      <c r="E851" s="132">
        <v>9</v>
      </c>
      <c r="F851" s="185">
        <f t="shared" si="71"/>
        <v>0</v>
      </c>
      <c r="G851" s="175">
        <v>0.585</v>
      </c>
      <c r="H851" s="146">
        <f t="shared" si="68"/>
        <v>0</v>
      </c>
      <c r="I851" s="146">
        <v>5</v>
      </c>
      <c r="J851" s="147">
        <f t="shared" si="69"/>
        <v>0</v>
      </c>
      <c r="K851" s="148">
        <f t="shared" si="70"/>
        <v>0</v>
      </c>
    </row>
    <row r="852" spans="2:11" ht="15">
      <c r="B852" s="144" t="s">
        <v>476</v>
      </c>
      <c r="C852" s="132" t="s">
        <v>447</v>
      </c>
      <c r="D852" s="132" t="s">
        <v>450</v>
      </c>
      <c r="E852" s="132">
        <v>9</v>
      </c>
      <c r="F852" s="185">
        <f t="shared" si="71"/>
        <v>0</v>
      </c>
      <c r="G852" s="175">
        <v>0.602</v>
      </c>
      <c r="H852" s="146">
        <f t="shared" si="68"/>
        <v>0</v>
      </c>
      <c r="I852" s="146">
        <v>11.7</v>
      </c>
      <c r="J852" s="147">
        <f t="shared" si="69"/>
        <v>0</v>
      </c>
      <c r="K852" s="148">
        <f t="shared" si="70"/>
        <v>0</v>
      </c>
    </row>
    <row r="853" spans="2:11" ht="15">
      <c r="B853" s="144" t="s">
        <v>477</v>
      </c>
      <c r="C853" s="132" t="s">
        <v>447</v>
      </c>
      <c r="D853" s="132" t="s">
        <v>473</v>
      </c>
      <c r="E853" s="132">
        <v>9</v>
      </c>
      <c r="F853" s="185">
        <f t="shared" si="71"/>
        <v>0</v>
      </c>
      <c r="G853" s="175">
        <v>0.589</v>
      </c>
      <c r="H853" s="146">
        <f t="shared" si="68"/>
        <v>0</v>
      </c>
      <c r="I853" s="146">
        <v>6.6</v>
      </c>
      <c r="J853" s="147">
        <f t="shared" si="69"/>
        <v>0</v>
      </c>
      <c r="K853" s="148">
        <f t="shared" si="70"/>
        <v>0</v>
      </c>
    </row>
    <row r="854" spans="2:11" ht="15">
      <c r="B854" s="144" t="s">
        <v>478</v>
      </c>
      <c r="C854" s="132" t="s">
        <v>447</v>
      </c>
      <c r="D854" s="132" t="s">
        <v>475</v>
      </c>
      <c r="E854" s="132">
        <v>9</v>
      </c>
      <c r="F854" s="185">
        <f t="shared" si="71"/>
        <v>0</v>
      </c>
      <c r="G854" s="175">
        <v>0.585</v>
      </c>
      <c r="H854" s="146">
        <f t="shared" si="68"/>
        <v>0</v>
      </c>
      <c r="I854" s="146">
        <v>3.1</v>
      </c>
      <c r="J854" s="147">
        <f t="shared" si="69"/>
        <v>0</v>
      </c>
      <c r="K854" s="148">
        <f t="shared" si="70"/>
        <v>0</v>
      </c>
    </row>
    <row r="855" spans="2:11" ht="15">
      <c r="B855" s="167" t="s">
        <v>470</v>
      </c>
      <c r="C855" s="168" t="s">
        <v>471</v>
      </c>
      <c r="D855" s="168" t="s">
        <v>450</v>
      </c>
      <c r="E855" s="168">
        <v>10</v>
      </c>
      <c r="F855" s="185">
        <f t="shared" si="71"/>
        <v>0</v>
      </c>
      <c r="G855" s="176">
        <v>0.589</v>
      </c>
      <c r="H855" s="170">
        <f t="shared" si="68"/>
        <v>0</v>
      </c>
      <c r="I855" s="168">
        <v>19.3</v>
      </c>
      <c r="J855" s="171">
        <f t="shared" si="69"/>
        <v>0</v>
      </c>
      <c r="K855" s="172">
        <f t="shared" si="70"/>
        <v>0</v>
      </c>
    </row>
    <row r="856" spans="2:11" ht="15">
      <c r="B856" s="144" t="s">
        <v>472</v>
      </c>
      <c r="C856" s="132" t="s">
        <v>471</v>
      </c>
      <c r="D856" s="132" t="s">
        <v>473</v>
      </c>
      <c r="E856" s="132">
        <v>10</v>
      </c>
      <c r="F856" s="185">
        <f t="shared" si="71"/>
        <v>0</v>
      </c>
      <c r="G856" s="175">
        <v>0.576</v>
      </c>
      <c r="H856" s="146">
        <f t="shared" si="68"/>
        <v>0</v>
      </c>
      <c r="I856" s="146">
        <v>11.2</v>
      </c>
      <c r="J856" s="147">
        <f t="shared" si="69"/>
        <v>0</v>
      </c>
      <c r="K856" s="148">
        <f t="shared" si="70"/>
        <v>0</v>
      </c>
    </row>
    <row r="857" spans="2:11" ht="15">
      <c r="B857" s="144" t="s">
        <v>474</v>
      </c>
      <c r="C857" s="132" t="s">
        <v>471</v>
      </c>
      <c r="D857" s="132" t="s">
        <v>475</v>
      </c>
      <c r="E857" s="132">
        <v>10</v>
      </c>
      <c r="F857" s="185">
        <f t="shared" si="71"/>
        <v>0</v>
      </c>
      <c r="G857" s="175">
        <v>0.568</v>
      </c>
      <c r="H857" s="146">
        <f t="shared" si="68"/>
        <v>0</v>
      </c>
      <c r="I857" s="146">
        <v>5.5</v>
      </c>
      <c r="J857" s="147">
        <f t="shared" si="69"/>
        <v>0</v>
      </c>
      <c r="K857" s="148">
        <f t="shared" si="70"/>
        <v>0</v>
      </c>
    </row>
    <row r="858" spans="2:11" ht="15">
      <c r="B858" s="144" t="s">
        <v>476</v>
      </c>
      <c r="C858" s="132" t="s">
        <v>447</v>
      </c>
      <c r="D858" s="132" t="s">
        <v>450</v>
      </c>
      <c r="E858" s="132">
        <v>10</v>
      </c>
      <c r="F858" s="185">
        <f t="shared" si="71"/>
        <v>0</v>
      </c>
      <c r="G858" s="175">
        <v>0.589</v>
      </c>
      <c r="H858" s="146">
        <f t="shared" si="68"/>
        <v>0</v>
      </c>
      <c r="I858" s="146">
        <v>13.2</v>
      </c>
      <c r="J858" s="147">
        <f t="shared" si="69"/>
        <v>0</v>
      </c>
      <c r="K858" s="148">
        <f t="shared" si="70"/>
        <v>0</v>
      </c>
    </row>
    <row r="859" spans="2:11" ht="15">
      <c r="B859" s="144" t="s">
        <v>477</v>
      </c>
      <c r="C859" s="132" t="s">
        <v>447</v>
      </c>
      <c r="D859" s="132" t="s">
        <v>473</v>
      </c>
      <c r="E859" s="132">
        <v>10</v>
      </c>
      <c r="F859" s="185">
        <f t="shared" si="71"/>
        <v>0</v>
      </c>
      <c r="G859" s="175">
        <v>0.576</v>
      </c>
      <c r="H859" s="146">
        <f aca="true" t="shared" si="72" ref="H859:H884">F859*G859</f>
        <v>0</v>
      </c>
      <c r="I859" s="146">
        <v>7.4</v>
      </c>
      <c r="J859" s="147">
        <f aca="true" t="shared" si="73" ref="J859:J884">H859*I859</f>
        <v>0</v>
      </c>
      <c r="K859" s="148">
        <f aca="true" t="shared" si="74" ref="K859:K885">J859/2000</f>
        <v>0</v>
      </c>
    </row>
    <row r="860" spans="2:11" ht="15">
      <c r="B860" s="144" t="s">
        <v>478</v>
      </c>
      <c r="C860" s="132" t="s">
        <v>447</v>
      </c>
      <c r="D860" s="132" t="s">
        <v>475</v>
      </c>
      <c r="E860" s="132">
        <v>10</v>
      </c>
      <c r="F860" s="185">
        <f t="shared" si="71"/>
        <v>0</v>
      </c>
      <c r="G860" s="175">
        <v>0.568</v>
      </c>
      <c r="H860" s="146">
        <f t="shared" si="72"/>
        <v>0</v>
      </c>
      <c r="I860" s="146">
        <v>3.5</v>
      </c>
      <c r="J860" s="147">
        <f t="shared" si="73"/>
        <v>0</v>
      </c>
      <c r="K860" s="148">
        <f t="shared" si="74"/>
        <v>0</v>
      </c>
    </row>
    <row r="861" spans="2:11" ht="15">
      <c r="B861" s="167" t="s">
        <v>470</v>
      </c>
      <c r="C861" s="168" t="s">
        <v>471</v>
      </c>
      <c r="D861" s="168" t="s">
        <v>450</v>
      </c>
      <c r="E861" s="168">
        <v>11</v>
      </c>
      <c r="F861" s="185">
        <f t="shared" si="71"/>
        <v>0</v>
      </c>
      <c r="G861" s="176">
        <v>0.576</v>
      </c>
      <c r="H861" s="170">
        <f t="shared" si="72"/>
        <v>0</v>
      </c>
      <c r="I861" s="168">
        <v>21.3</v>
      </c>
      <c r="J861" s="171">
        <f t="shared" si="73"/>
        <v>0</v>
      </c>
      <c r="K861" s="172">
        <f t="shared" si="74"/>
        <v>0</v>
      </c>
    </row>
    <row r="862" spans="2:11" ht="15">
      <c r="B862" s="144" t="s">
        <v>472</v>
      </c>
      <c r="C862" s="132" t="s">
        <v>471</v>
      </c>
      <c r="D862" s="132" t="s">
        <v>473</v>
      </c>
      <c r="E862" s="132">
        <v>11</v>
      </c>
      <c r="F862" s="185">
        <f t="shared" si="71"/>
        <v>0</v>
      </c>
      <c r="G862" s="175">
        <v>0.564</v>
      </c>
      <c r="H862" s="146">
        <f t="shared" si="72"/>
        <v>0</v>
      </c>
      <c r="I862" s="146">
        <v>12.3</v>
      </c>
      <c r="J862" s="147">
        <f t="shared" si="73"/>
        <v>0</v>
      </c>
      <c r="K862" s="148">
        <f t="shared" si="74"/>
        <v>0</v>
      </c>
    </row>
    <row r="863" spans="2:11" ht="15">
      <c r="B863" s="144" t="s">
        <v>474</v>
      </c>
      <c r="C863" s="132" t="s">
        <v>471</v>
      </c>
      <c r="D863" s="132" t="s">
        <v>475</v>
      </c>
      <c r="E863" s="132">
        <v>11</v>
      </c>
      <c r="F863" s="185">
        <f t="shared" si="71"/>
        <v>0</v>
      </c>
      <c r="G863" s="175">
        <v>0.552</v>
      </c>
      <c r="H863" s="146">
        <f t="shared" si="72"/>
        <v>0</v>
      </c>
      <c r="I863" s="146">
        <v>6</v>
      </c>
      <c r="J863" s="147">
        <f t="shared" si="73"/>
        <v>0</v>
      </c>
      <c r="K863" s="148">
        <f t="shared" si="74"/>
        <v>0</v>
      </c>
    </row>
    <row r="864" spans="2:11" ht="15">
      <c r="B864" s="144" t="s">
        <v>476</v>
      </c>
      <c r="C864" s="132" t="s">
        <v>447</v>
      </c>
      <c r="D864" s="132" t="s">
        <v>450</v>
      </c>
      <c r="E864" s="132">
        <v>11</v>
      </c>
      <c r="F864" s="185">
        <f t="shared" si="71"/>
        <v>0</v>
      </c>
      <c r="G864" s="175">
        <v>0.576</v>
      </c>
      <c r="H864" s="146">
        <f t="shared" si="72"/>
        <v>0</v>
      </c>
      <c r="I864" s="146">
        <v>14.7</v>
      </c>
      <c r="J864" s="147">
        <f t="shared" si="73"/>
        <v>0</v>
      </c>
      <c r="K864" s="148">
        <f t="shared" si="74"/>
        <v>0</v>
      </c>
    </row>
    <row r="865" spans="2:11" ht="15">
      <c r="B865" s="144" t="s">
        <v>477</v>
      </c>
      <c r="C865" s="132" t="s">
        <v>447</v>
      </c>
      <c r="D865" s="132" t="s">
        <v>473</v>
      </c>
      <c r="E865" s="132">
        <v>11</v>
      </c>
      <c r="F865" s="185">
        <f t="shared" si="71"/>
        <v>0</v>
      </c>
      <c r="G865" s="175">
        <v>0.564</v>
      </c>
      <c r="H865" s="146">
        <f t="shared" si="72"/>
        <v>0</v>
      </c>
      <c r="I865" s="146">
        <v>8.2</v>
      </c>
      <c r="J865" s="147">
        <f t="shared" si="73"/>
        <v>0</v>
      </c>
      <c r="K865" s="148">
        <f t="shared" si="74"/>
        <v>0</v>
      </c>
    </row>
    <row r="866" spans="2:11" ht="15">
      <c r="B866" s="144" t="s">
        <v>478</v>
      </c>
      <c r="C866" s="132" t="s">
        <v>447</v>
      </c>
      <c r="D866" s="132" t="s">
        <v>475</v>
      </c>
      <c r="E866" s="132">
        <v>11</v>
      </c>
      <c r="F866" s="185">
        <f aca="true" t="shared" si="75" ref="F866:F884">+F767</f>
        <v>0</v>
      </c>
      <c r="G866" s="175">
        <v>0.552</v>
      </c>
      <c r="H866" s="146">
        <f t="shared" si="72"/>
        <v>0</v>
      </c>
      <c r="I866" s="146">
        <v>3.8</v>
      </c>
      <c r="J866" s="147">
        <f t="shared" si="73"/>
        <v>0</v>
      </c>
      <c r="K866" s="148">
        <f t="shared" si="74"/>
        <v>0</v>
      </c>
    </row>
    <row r="867" spans="2:11" ht="15">
      <c r="B867" s="167" t="s">
        <v>470</v>
      </c>
      <c r="C867" s="168" t="s">
        <v>471</v>
      </c>
      <c r="D867" s="168" t="s">
        <v>450</v>
      </c>
      <c r="E867" s="168">
        <v>12</v>
      </c>
      <c r="F867" s="185">
        <f t="shared" si="75"/>
        <v>0</v>
      </c>
      <c r="G867" s="176">
        <v>0.563</v>
      </c>
      <c r="H867" s="170">
        <f t="shared" si="72"/>
        <v>0</v>
      </c>
      <c r="I867" s="168">
        <v>23.3</v>
      </c>
      <c r="J867" s="171">
        <f t="shared" si="73"/>
        <v>0</v>
      </c>
      <c r="K867" s="172">
        <f t="shared" si="74"/>
        <v>0</v>
      </c>
    </row>
    <row r="868" spans="2:11" ht="15">
      <c r="B868" s="144" t="s">
        <v>472</v>
      </c>
      <c r="C868" s="132" t="s">
        <v>471</v>
      </c>
      <c r="D868" s="132" t="s">
        <v>473</v>
      </c>
      <c r="E868" s="132">
        <v>12</v>
      </c>
      <c r="F868" s="185">
        <f t="shared" si="75"/>
        <v>0</v>
      </c>
      <c r="G868" s="175">
        <v>0.551</v>
      </c>
      <c r="H868" s="146">
        <f t="shared" si="72"/>
        <v>0</v>
      </c>
      <c r="I868" s="146">
        <v>13.5</v>
      </c>
      <c r="J868" s="147">
        <f t="shared" si="73"/>
        <v>0</v>
      </c>
      <c r="K868" s="148">
        <f t="shared" si="74"/>
        <v>0</v>
      </c>
    </row>
    <row r="869" spans="2:11" ht="15">
      <c r="B869" s="144" t="s">
        <v>474</v>
      </c>
      <c r="C869" s="132" t="s">
        <v>471</v>
      </c>
      <c r="D869" s="132" t="s">
        <v>475</v>
      </c>
      <c r="E869" s="132">
        <v>12</v>
      </c>
      <c r="F869" s="185">
        <f t="shared" si="75"/>
        <v>0</v>
      </c>
      <c r="G869" s="175">
        <v>0.536</v>
      </c>
      <c r="H869" s="146">
        <f t="shared" si="72"/>
        <v>0</v>
      </c>
      <c r="I869" s="146">
        <v>6.5</v>
      </c>
      <c r="J869" s="147">
        <f t="shared" si="73"/>
        <v>0</v>
      </c>
      <c r="K869" s="148">
        <f t="shared" si="74"/>
        <v>0</v>
      </c>
    </row>
    <row r="870" spans="2:11" ht="15">
      <c r="B870" s="144" t="s">
        <v>476</v>
      </c>
      <c r="C870" s="132" t="s">
        <v>447</v>
      </c>
      <c r="D870" s="132" t="s">
        <v>450</v>
      </c>
      <c r="E870" s="132">
        <v>12</v>
      </c>
      <c r="F870" s="185">
        <f t="shared" si="75"/>
        <v>0</v>
      </c>
      <c r="G870" s="175">
        <v>0.563</v>
      </c>
      <c r="H870" s="146">
        <f t="shared" si="72"/>
        <v>0</v>
      </c>
      <c r="I870" s="146">
        <v>16.3</v>
      </c>
      <c r="J870" s="147">
        <f t="shared" si="73"/>
        <v>0</v>
      </c>
      <c r="K870" s="148">
        <f t="shared" si="74"/>
        <v>0</v>
      </c>
    </row>
    <row r="871" spans="2:11" ht="15">
      <c r="B871" s="144" t="s">
        <v>477</v>
      </c>
      <c r="C871" s="132" t="s">
        <v>447</v>
      </c>
      <c r="D871" s="132" t="s">
        <v>473</v>
      </c>
      <c r="E871" s="132">
        <v>12</v>
      </c>
      <c r="F871" s="185">
        <f t="shared" si="75"/>
        <v>0</v>
      </c>
      <c r="G871" s="175">
        <v>0.551</v>
      </c>
      <c r="H871" s="146">
        <f t="shared" si="72"/>
        <v>0</v>
      </c>
      <c r="I871" s="146">
        <v>9.1</v>
      </c>
      <c r="J871" s="147">
        <f t="shared" si="73"/>
        <v>0</v>
      </c>
      <c r="K871" s="148">
        <f t="shared" si="74"/>
        <v>0</v>
      </c>
    </row>
    <row r="872" spans="2:11" ht="15">
      <c r="B872" s="144" t="s">
        <v>478</v>
      </c>
      <c r="C872" s="132" t="s">
        <v>447</v>
      </c>
      <c r="D872" s="132" t="s">
        <v>475</v>
      </c>
      <c r="E872" s="132">
        <v>12</v>
      </c>
      <c r="F872" s="185">
        <f t="shared" si="75"/>
        <v>0</v>
      </c>
      <c r="G872" s="175">
        <v>0.536</v>
      </c>
      <c r="H872" s="146">
        <f t="shared" si="72"/>
        <v>0</v>
      </c>
      <c r="I872" s="146">
        <v>4.2</v>
      </c>
      <c r="J872" s="147">
        <f t="shared" si="73"/>
        <v>0</v>
      </c>
      <c r="K872" s="148">
        <f t="shared" si="74"/>
        <v>0</v>
      </c>
    </row>
    <row r="873" spans="2:11" ht="15">
      <c r="B873" s="167" t="s">
        <v>470</v>
      </c>
      <c r="C873" s="168" t="s">
        <v>471</v>
      </c>
      <c r="D873" s="168" t="s">
        <v>450</v>
      </c>
      <c r="E873" s="168">
        <v>13</v>
      </c>
      <c r="F873" s="185">
        <f t="shared" si="75"/>
        <v>0</v>
      </c>
      <c r="G873" s="176">
        <v>0.551</v>
      </c>
      <c r="H873" s="170">
        <f t="shared" si="72"/>
        <v>0</v>
      </c>
      <c r="I873" s="168">
        <v>25.4</v>
      </c>
      <c r="J873" s="171">
        <f t="shared" si="73"/>
        <v>0</v>
      </c>
      <c r="K873" s="172">
        <f t="shared" si="74"/>
        <v>0</v>
      </c>
    </row>
    <row r="874" spans="2:11" ht="15">
      <c r="B874" s="144" t="s">
        <v>472</v>
      </c>
      <c r="C874" s="132" t="s">
        <v>471</v>
      </c>
      <c r="D874" s="132" t="s">
        <v>473</v>
      </c>
      <c r="E874" s="132">
        <v>13</v>
      </c>
      <c r="F874" s="185">
        <f t="shared" si="75"/>
        <v>0</v>
      </c>
      <c r="G874" s="175">
        <v>0.539</v>
      </c>
      <c r="H874" s="146">
        <f t="shared" si="72"/>
        <v>0</v>
      </c>
      <c r="I874" s="146">
        <v>14.6</v>
      </c>
      <c r="J874" s="147">
        <f t="shared" si="73"/>
        <v>0</v>
      </c>
      <c r="K874" s="148">
        <f t="shared" si="74"/>
        <v>0</v>
      </c>
    </row>
    <row r="875" spans="2:11" ht="15">
      <c r="B875" s="144" t="s">
        <v>474</v>
      </c>
      <c r="C875" s="132" t="s">
        <v>471</v>
      </c>
      <c r="D875" s="132" t="s">
        <v>475</v>
      </c>
      <c r="E875" s="132">
        <v>13</v>
      </c>
      <c r="F875" s="185">
        <f t="shared" si="75"/>
        <v>0</v>
      </c>
      <c r="G875" s="175">
        <v>0.524</v>
      </c>
      <c r="H875" s="146">
        <f t="shared" si="72"/>
        <v>0</v>
      </c>
      <c r="I875" s="146">
        <v>7</v>
      </c>
      <c r="J875" s="147">
        <f t="shared" si="73"/>
        <v>0</v>
      </c>
      <c r="K875" s="148">
        <f t="shared" si="74"/>
        <v>0</v>
      </c>
    </row>
    <row r="876" spans="2:11" ht="15">
      <c r="B876" s="144" t="s">
        <v>476</v>
      </c>
      <c r="C876" s="132" t="s">
        <v>447</v>
      </c>
      <c r="D876" s="132" t="s">
        <v>450</v>
      </c>
      <c r="E876" s="132">
        <v>13</v>
      </c>
      <c r="F876" s="185">
        <f t="shared" si="75"/>
        <v>0</v>
      </c>
      <c r="G876" s="175">
        <v>0.551</v>
      </c>
      <c r="H876" s="146">
        <f t="shared" si="72"/>
        <v>0</v>
      </c>
      <c r="I876" s="146">
        <v>17.9</v>
      </c>
      <c r="J876" s="147">
        <f t="shared" si="73"/>
        <v>0</v>
      </c>
      <c r="K876" s="148">
        <f t="shared" si="74"/>
        <v>0</v>
      </c>
    </row>
    <row r="877" spans="2:11" ht="15">
      <c r="B877" s="144" t="s">
        <v>477</v>
      </c>
      <c r="C877" s="132" t="s">
        <v>447</v>
      </c>
      <c r="D877" s="132" t="s">
        <v>473</v>
      </c>
      <c r="E877" s="132">
        <v>13</v>
      </c>
      <c r="F877" s="185">
        <f t="shared" si="75"/>
        <v>0</v>
      </c>
      <c r="G877" s="175">
        <v>0.539</v>
      </c>
      <c r="H877" s="146">
        <f t="shared" si="72"/>
        <v>0</v>
      </c>
      <c r="I877" s="146">
        <v>9.9</v>
      </c>
      <c r="J877" s="147">
        <f t="shared" si="73"/>
        <v>0</v>
      </c>
      <c r="K877" s="148">
        <f t="shared" si="74"/>
        <v>0</v>
      </c>
    </row>
    <row r="878" spans="2:11" ht="15">
      <c r="B878" s="144" t="s">
        <v>478</v>
      </c>
      <c r="C878" s="132" t="s">
        <v>447</v>
      </c>
      <c r="D878" s="132" t="s">
        <v>475</v>
      </c>
      <c r="E878" s="132">
        <v>13</v>
      </c>
      <c r="F878" s="185">
        <f t="shared" si="75"/>
        <v>0</v>
      </c>
      <c r="G878" s="175">
        <v>0.524</v>
      </c>
      <c r="H878" s="146">
        <f t="shared" si="72"/>
        <v>0</v>
      </c>
      <c r="I878" s="146">
        <v>4.6</v>
      </c>
      <c r="J878" s="147">
        <f t="shared" si="73"/>
        <v>0</v>
      </c>
      <c r="K878" s="148">
        <f t="shared" si="74"/>
        <v>0</v>
      </c>
    </row>
    <row r="879" spans="2:11" ht="15">
      <c r="B879" s="167" t="s">
        <v>470</v>
      </c>
      <c r="C879" s="168" t="s">
        <v>471</v>
      </c>
      <c r="D879" s="168" t="s">
        <v>450</v>
      </c>
      <c r="E879" s="168">
        <v>14</v>
      </c>
      <c r="F879" s="185">
        <f t="shared" si="75"/>
        <v>0</v>
      </c>
      <c r="G879" s="176">
        <v>0.539</v>
      </c>
      <c r="H879" s="170">
        <f t="shared" si="72"/>
        <v>0</v>
      </c>
      <c r="I879" s="168">
        <v>27.5</v>
      </c>
      <c r="J879" s="171">
        <f t="shared" si="73"/>
        <v>0</v>
      </c>
      <c r="K879" s="172">
        <f t="shared" si="74"/>
        <v>0</v>
      </c>
    </row>
    <row r="880" spans="2:11" ht="15">
      <c r="B880" s="144" t="s">
        <v>472</v>
      </c>
      <c r="C880" s="132" t="s">
        <v>471</v>
      </c>
      <c r="D880" s="132" t="s">
        <v>473</v>
      </c>
      <c r="E880" s="132">
        <v>14</v>
      </c>
      <c r="F880" s="185">
        <f t="shared" si="75"/>
        <v>0</v>
      </c>
      <c r="G880" s="175">
        <v>0.527</v>
      </c>
      <c r="H880" s="146">
        <f t="shared" si="72"/>
        <v>0</v>
      </c>
      <c r="I880" s="146">
        <v>15.8</v>
      </c>
      <c r="J880" s="147">
        <f t="shared" si="73"/>
        <v>0</v>
      </c>
      <c r="K880" s="148">
        <f t="shared" si="74"/>
        <v>0</v>
      </c>
    </row>
    <row r="881" spans="2:11" ht="15">
      <c r="B881" s="144" t="s">
        <v>474</v>
      </c>
      <c r="C881" s="132" t="s">
        <v>471</v>
      </c>
      <c r="D881" s="132" t="s">
        <v>475</v>
      </c>
      <c r="E881" s="132">
        <v>14</v>
      </c>
      <c r="F881" s="185">
        <f t="shared" si="75"/>
        <v>0</v>
      </c>
      <c r="G881" s="175">
        <v>0.512</v>
      </c>
      <c r="H881" s="146">
        <f t="shared" si="72"/>
        <v>0</v>
      </c>
      <c r="I881" s="146">
        <v>7.5</v>
      </c>
      <c r="J881" s="147">
        <f t="shared" si="73"/>
        <v>0</v>
      </c>
      <c r="K881" s="148">
        <f t="shared" si="74"/>
        <v>0</v>
      </c>
    </row>
    <row r="882" spans="2:11" ht="15">
      <c r="B882" s="144" t="s">
        <v>476</v>
      </c>
      <c r="C882" s="132" t="s">
        <v>447</v>
      </c>
      <c r="D882" s="132" t="s">
        <v>450</v>
      </c>
      <c r="E882" s="132">
        <v>14</v>
      </c>
      <c r="F882" s="185">
        <f t="shared" si="75"/>
        <v>0</v>
      </c>
      <c r="G882" s="175">
        <v>0.539</v>
      </c>
      <c r="H882" s="146">
        <f t="shared" si="72"/>
        <v>0</v>
      </c>
      <c r="I882" s="146">
        <v>19.6</v>
      </c>
      <c r="J882" s="147">
        <f t="shared" si="73"/>
        <v>0</v>
      </c>
      <c r="K882" s="148">
        <f t="shared" si="74"/>
        <v>0</v>
      </c>
    </row>
    <row r="883" spans="2:11" ht="15">
      <c r="B883" s="144" t="s">
        <v>477</v>
      </c>
      <c r="C883" s="132" t="s">
        <v>447</v>
      </c>
      <c r="D883" s="132" t="s">
        <v>473</v>
      </c>
      <c r="E883" s="132">
        <v>14</v>
      </c>
      <c r="F883" s="185">
        <f t="shared" si="75"/>
        <v>0</v>
      </c>
      <c r="G883" s="175">
        <v>0.527</v>
      </c>
      <c r="H883" s="146">
        <f t="shared" si="72"/>
        <v>0</v>
      </c>
      <c r="I883" s="146">
        <v>10.8</v>
      </c>
      <c r="J883" s="147">
        <f t="shared" si="73"/>
        <v>0</v>
      </c>
      <c r="K883" s="148">
        <f t="shared" si="74"/>
        <v>0</v>
      </c>
    </row>
    <row r="884" spans="2:11" ht="15.75" thickBot="1">
      <c r="B884" s="144" t="s">
        <v>478</v>
      </c>
      <c r="C884" s="132" t="s">
        <v>447</v>
      </c>
      <c r="D884" s="132" t="s">
        <v>475</v>
      </c>
      <c r="E884" s="132">
        <v>14</v>
      </c>
      <c r="F884" s="185">
        <f t="shared" si="75"/>
        <v>0</v>
      </c>
      <c r="G884" s="175">
        <v>0.512</v>
      </c>
      <c r="H884" s="146">
        <f t="shared" si="72"/>
        <v>0</v>
      </c>
      <c r="I884" s="146">
        <v>4.9</v>
      </c>
      <c r="J884" s="147">
        <f t="shared" si="73"/>
        <v>0</v>
      </c>
      <c r="K884" s="148">
        <f t="shared" si="74"/>
        <v>0</v>
      </c>
    </row>
    <row r="885" spans="2:11" ht="15.75" thickTop="1">
      <c r="B885" s="149"/>
      <c r="C885" s="150"/>
      <c r="D885" s="150"/>
      <c r="E885" s="150"/>
      <c r="F885" s="150"/>
      <c r="G885" s="177"/>
      <c r="H885" s="150"/>
      <c r="I885" s="151" t="s">
        <v>479</v>
      </c>
      <c r="J885" s="152">
        <f>SUM(J795:J884)</f>
        <v>0</v>
      </c>
      <c r="K885" s="143">
        <f t="shared" si="74"/>
        <v>0</v>
      </c>
    </row>
    <row r="886" spans="2:11" ht="15">
      <c r="B886" s="153"/>
      <c r="C886" s="154"/>
      <c r="D886" s="154"/>
      <c r="E886" s="154"/>
      <c r="F886" s="154"/>
      <c r="G886" s="178"/>
      <c r="H886" s="155"/>
      <c r="I886" s="156"/>
      <c r="J886" s="157"/>
      <c r="K886" s="148"/>
    </row>
    <row r="887" spans="2:11" ht="15.75" thickBot="1">
      <c r="B887" s="158"/>
      <c r="C887" s="159"/>
      <c r="D887" s="159"/>
      <c r="E887" s="159"/>
      <c r="F887" s="159"/>
      <c r="G887" s="179"/>
      <c r="H887" s="160"/>
      <c r="I887" s="161" t="s">
        <v>480</v>
      </c>
      <c r="J887" s="162">
        <f>J885*(44/12)</f>
        <v>0</v>
      </c>
      <c r="K887" s="163">
        <f>K885*(44/12)</f>
        <v>0</v>
      </c>
    </row>
    <row r="888" ht="15.75" thickTop="1"/>
  </sheetData>
  <sheetProtection password="A20C" sheet="1" objects="1" scenarios="1"/>
  <mergeCells count="8">
    <mergeCell ref="J36:K36"/>
    <mergeCell ref="B3:E3"/>
    <mergeCell ref="B13:B15"/>
    <mergeCell ref="C13:H13"/>
    <mergeCell ref="C14:E14"/>
    <mergeCell ref="F14:H14"/>
    <mergeCell ref="C5:E5"/>
    <mergeCell ref="C6:E6"/>
  </mergeCells>
  <hyperlinks>
    <hyperlink ref="B1:W1" location="'Table of Contents'!B3" display="Table of Content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wksTransMitV">
    <tabColor theme="9" tint="-0.24997000396251678"/>
  </sheetPr>
  <dimension ref="A1:E300"/>
  <sheetViews>
    <sheetView showGridLines="0" showRowColHeaders="0" zoomScalePageLayoutView="0" workbookViewId="0" topLeftCell="A1">
      <selection activeCell="A4" sqref="A4"/>
    </sheetView>
  </sheetViews>
  <sheetFormatPr defaultColWidth="9.140625" defaultRowHeight="15"/>
  <cols>
    <col min="1" max="1" width="69.8515625" style="0" customWidth="1"/>
    <col min="2" max="2" width="72.8515625" style="0" customWidth="1"/>
    <col min="3" max="3" width="89.140625" style="0" customWidth="1"/>
    <col min="4" max="4" width="17.7109375" style="0" bestFit="1" customWidth="1"/>
  </cols>
  <sheetData>
    <row r="1" spans="1:5" ht="18.75">
      <c r="A1" s="464" t="s">
        <v>6</v>
      </c>
      <c r="B1" s="25" t="s">
        <v>58</v>
      </c>
      <c r="D1" s="26"/>
      <c r="E1" s="26"/>
    </row>
    <row r="3" spans="1:3" ht="15.75">
      <c r="A3" s="27" t="s">
        <v>57</v>
      </c>
      <c r="B3" s="27" t="s">
        <v>59</v>
      </c>
      <c r="C3" s="27" t="s">
        <v>60</v>
      </c>
    </row>
    <row r="4" spans="1:3" ht="15">
      <c r="A4" s="462"/>
      <c r="B4" s="462" t="s">
        <v>739</v>
      </c>
      <c r="C4" s="462" t="s">
        <v>764</v>
      </c>
    </row>
    <row r="5" spans="1:3" ht="15">
      <c r="A5" s="462"/>
      <c r="B5" s="462" t="s">
        <v>740</v>
      </c>
      <c r="C5" s="462" t="s">
        <v>765</v>
      </c>
    </row>
    <row r="6" spans="1:3" ht="15">
      <c r="A6" s="462"/>
      <c r="B6" s="462" t="s">
        <v>741</v>
      </c>
      <c r="C6" s="462" t="s">
        <v>766</v>
      </c>
    </row>
    <row r="7" spans="1:3" ht="15">
      <c r="A7" s="462"/>
      <c r="B7" s="462" t="s">
        <v>742</v>
      </c>
      <c r="C7" s="462" t="s">
        <v>767</v>
      </c>
    </row>
    <row r="8" spans="1:3" ht="15">
      <c r="A8" s="462"/>
      <c r="B8" s="462" t="s">
        <v>743</v>
      </c>
      <c r="C8" s="462"/>
    </row>
    <row r="9" spans="1:3" ht="15">
      <c r="A9" s="462"/>
      <c r="B9" s="462" t="s">
        <v>744</v>
      </c>
      <c r="C9" s="462"/>
    </row>
    <row r="10" spans="1:3" ht="15">
      <c r="A10" s="462"/>
      <c r="B10" s="462" t="s">
        <v>745</v>
      </c>
      <c r="C10" s="462"/>
    </row>
    <row r="11" spans="1:3" ht="15">
      <c r="A11" s="462"/>
      <c r="B11" s="462"/>
      <c r="C11" s="462"/>
    </row>
    <row r="12" spans="1:3" ht="15">
      <c r="A12" s="462"/>
      <c r="B12" s="462" t="s">
        <v>746</v>
      </c>
      <c r="C12" s="462"/>
    </row>
    <row r="13" spans="1:3" ht="15">
      <c r="A13" s="462"/>
      <c r="B13" s="462" t="s">
        <v>747</v>
      </c>
      <c r="C13" s="462"/>
    </row>
    <row r="14" spans="1:3" ht="15">
      <c r="A14" s="462"/>
      <c r="B14" s="462" t="s">
        <v>748</v>
      </c>
      <c r="C14" s="462"/>
    </row>
    <row r="15" spans="1:3" ht="15">
      <c r="A15" s="462"/>
      <c r="B15" s="462" t="s">
        <v>742</v>
      </c>
      <c r="C15" s="462"/>
    </row>
    <row r="16" spans="1:3" ht="15">
      <c r="A16" s="462"/>
      <c r="B16" s="462" t="s">
        <v>749</v>
      </c>
      <c r="C16" s="462"/>
    </row>
    <row r="17" spans="1:3" ht="15">
      <c r="A17" s="462"/>
      <c r="B17" s="462"/>
      <c r="C17" s="462"/>
    </row>
    <row r="18" spans="1:3" ht="15">
      <c r="A18" s="462"/>
      <c r="B18" s="462" t="s">
        <v>750</v>
      </c>
      <c r="C18" s="462"/>
    </row>
    <row r="19" spans="1:3" ht="15">
      <c r="A19" s="462"/>
      <c r="B19" s="462" t="s">
        <v>751</v>
      </c>
      <c r="C19" s="462"/>
    </row>
    <row r="20" spans="1:3" ht="15">
      <c r="A20" s="462"/>
      <c r="B20" s="462" t="s">
        <v>752</v>
      </c>
      <c r="C20" s="462"/>
    </row>
    <row r="21" spans="1:3" ht="15">
      <c r="A21" s="462"/>
      <c r="B21" s="462" t="s">
        <v>742</v>
      </c>
      <c r="C21" s="462"/>
    </row>
    <row r="22" spans="1:3" ht="15">
      <c r="A22" s="462"/>
      <c r="B22" s="462" t="s">
        <v>753</v>
      </c>
      <c r="C22" s="462"/>
    </row>
    <row r="23" spans="1:3" ht="15">
      <c r="A23" s="462"/>
      <c r="B23" s="462" t="s">
        <v>754</v>
      </c>
      <c r="C23" s="462"/>
    </row>
    <row r="24" spans="1:3" ht="15">
      <c r="A24" s="462"/>
      <c r="B24" s="462" t="s">
        <v>755</v>
      </c>
      <c r="C24" s="462"/>
    </row>
    <row r="25" spans="1:3" ht="15">
      <c r="A25" s="462"/>
      <c r="B25" s="462"/>
      <c r="C25" s="462"/>
    </row>
    <row r="26" spans="1:3" ht="15">
      <c r="A26" s="462"/>
      <c r="B26" s="462" t="s">
        <v>756</v>
      </c>
      <c r="C26" s="462"/>
    </row>
    <row r="27" spans="1:3" ht="15">
      <c r="A27" s="462"/>
      <c r="B27" s="462" t="s">
        <v>757</v>
      </c>
      <c r="C27" s="462"/>
    </row>
    <row r="28" spans="1:3" ht="15">
      <c r="A28" s="462"/>
      <c r="B28" s="462" t="s">
        <v>758</v>
      </c>
      <c r="C28" s="462"/>
    </row>
    <row r="29" spans="1:3" ht="15">
      <c r="A29" s="462"/>
      <c r="B29" s="462" t="s">
        <v>742</v>
      </c>
      <c r="C29" s="462"/>
    </row>
    <row r="30" spans="1:3" ht="15">
      <c r="A30" s="462"/>
      <c r="B30" s="462" t="s">
        <v>759</v>
      </c>
      <c r="C30" s="462"/>
    </row>
    <row r="31" spans="1:3" ht="15">
      <c r="A31" s="462"/>
      <c r="B31" s="462" t="s">
        <v>760</v>
      </c>
      <c r="C31" s="462"/>
    </row>
    <row r="32" spans="1:3" ht="15">
      <c r="A32" s="462"/>
      <c r="B32" s="462" t="s">
        <v>761</v>
      </c>
      <c r="C32" s="462"/>
    </row>
    <row r="33" spans="1:3" ht="15">
      <c r="A33" s="462"/>
      <c r="B33" s="462" t="s">
        <v>762</v>
      </c>
      <c r="C33" s="462"/>
    </row>
    <row r="34" spans="1:3" ht="15">
      <c r="A34" s="462"/>
      <c r="B34" s="462" t="s">
        <v>763</v>
      </c>
      <c r="C34" s="462"/>
    </row>
    <row r="35" spans="1:3" ht="15">
      <c r="A35" s="462"/>
      <c r="B35" s="462"/>
      <c r="C35" s="462"/>
    </row>
    <row r="36" spans="1:3" ht="15">
      <c r="A36" s="462"/>
      <c r="B36" s="462"/>
      <c r="C36" s="462"/>
    </row>
    <row r="37" spans="1:3" ht="15">
      <c r="A37" s="462"/>
      <c r="B37" s="462"/>
      <c r="C37" s="462"/>
    </row>
    <row r="38" spans="1:3" ht="15">
      <c r="A38" s="462"/>
      <c r="B38" s="462"/>
      <c r="C38" s="462"/>
    </row>
    <row r="39" spans="1:3" ht="15">
      <c r="A39" s="462"/>
      <c r="B39" s="462"/>
      <c r="C39" s="462"/>
    </row>
    <row r="40" spans="1:3" ht="15">
      <c r="A40" s="462"/>
      <c r="B40" s="462"/>
      <c r="C40" s="462"/>
    </row>
    <row r="41" spans="1:3" ht="15">
      <c r="A41" s="462"/>
      <c r="B41" s="462"/>
      <c r="C41" s="462"/>
    </row>
    <row r="42" spans="1:3" ht="15">
      <c r="A42" s="462"/>
      <c r="B42" s="462"/>
      <c r="C42" s="462"/>
    </row>
    <row r="43" spans="1:3" ht="15">
      <c r="A43" s="462"/>
      <c r="B43" s="462"/>
      <c r="C43" s="462"/>
    </row>
    <row r="44" spans="1:3" ht="15">
      <c r="A44" s="462"/>
      <c r="B44" s="462"/>
      <c r="C44" s="462"/>
    </row>
    <row r="45" spans="1:3" ht="15">
      <c r="A45" s="462"/>
      <c r="B45" s="462"/>
      <c r="C45" s="462"/>
    </row>
    <row r="46" spans="1:3" ht="15">
      <c r="A46" s="462"/>
      <c r="B46" s="462"/>
      <c r="C46" s="462"/>
    </row>
    <row r="47" spans="1:3" ht="15">
      <c r="A47" s="462"/>
      <c r="B47" s="462"/>
      <c r="C47" s="462"/>
    </row>
    <row r="48" spans="1:3" ht="15">
      <c r="A48" s="462"/>
      <c r="B48" s="462"/>
      <c r="C48" s="462"/>
    </row>
    <row r="49" spans="1:3" ht="15">
      <c r="A49" s="462"/>
      <c r="B49" s="462"/>
      <c r="C49" s="462"/>
    </row>
    <row r="50" spans="1:3" ht="15">
      <c r="A50" s="462"/>
      <c r="B50" s="462"/>
      <c r="C50" s="462"/>
    </row>
    <row r="51" spans="1:3" ht="15">
      <c r="A51" s="462"/>
      <c r="B51" s="462"/>
      <c r="C51" s="462"/>
    </row>
    <row r="52" spans="1:3" ht="15">
      <c r="A52" s="462"/>
      <c r="B52" s="462"/>
      <c r="C52" s="462"/>
    </row>
    <row r="53" spans="1:3" ht="15">
      <c r="A53" s="462"/>
      <c r="B53" s="462"/>
      <c r="C53" s="462"/>
    </row>
    <row r="54" spans="1:3" ht="15">
      <c r="A54" s="462"/>
      <c r="B54" s="462"/>
      <c r="C54" s="462"/>
    </row>
    <row r="55" spans="1:3" ht="15">
      <c r="A55" s="462"/>
      <c r="B55" s="462"/>
      <c r="C55" s="462"/>
    </row>
    <row r="56" spans="1:3" ht="15">
      <c r="A56" s="462"/>
      <c r="B56" s="462"/>
      <c r="C56" s="462"/>
    </row>
    <row r="57" spans="1:3" ht="15">
      <c r="A57" s="462"/>
      <c r="B57" s="462"/>
      <c r="C57" s="462"/>
    </row>
    <row r="58" spans="1:3" ht="15">
      <c r="A58" s="462"/>
      <c r="B58" s="462"/>
      <c r="C58" s="462"/>
    </row>
    <row r="59" spans="1:3" ht="15">
      <c r="A59" s="462"/>
      <c r="B59" s="462"/>
      <c r="C59" s="462"/>
    </row>
    <row r="60" spans="1:3" ht="15">
      <c r="A60" s="462"/>
      <c r="B60" s="462"/>
      <c r="C60" s="462"/>
    </row>
    <row r="61" spans="1:3" ht="15">
      <c r="A61" s="462"/>
      <c r="B61" s="462"/>
      <c r="C61" s="462"/>
    </row>
    <row r="62" spans="1:3" ht="15">
      <c r="A62" s="462"/>
      <c r="B62" s="462"/>
      <c r="C62" s="462"/>
    </row>
    <row r="63" spans="1:3" ht="15">
      <c r="A63" s="462"/>
      <c r="B63" s="462"/>
      <c r="C63" s="462"/>
    </row>
    <row r="64" spans="1:3" ht="15">
      <c r="A64" s="462"/>
      <c r="B64" s="462"/>
      <c r="C64" s="462"/>
    </row>
    <row r="65" spans="1:3" ht="15">
      <c r="A65" s="462"/>
      <c r="B65" s="462"/>
      <c r="C65" s="462"/>
    </row>
    <row r="66" spans="1:3" ht="15">
      <c r="A66" s="462"/>
      <c r="B66" s="462"/>
      <c r="C66" s="462"/>
    </row>
    <row r="67" spans="1:3" ht="15">
      <c r="A67" s="462"/>
      <c r="B67" s="462"/>
      <c r="C67" s="462"/>
    </row>
    <row r="68" spans="1:3" ht="15">
      <c r="A68" s="462"/>
      <c r="B68" s="462"/>
      <c r="C68" s="462"/>
    </row>
    <row r="69" spans="1:3" ht="15">
      <c r="A69" s="462"/>
      <c r="B69" s="462"/>
      <c r="C69" s="462"/>
    </row>
    <row r="70" spans="1:3" ht="15">
      <c r="A70" s="462"/>
      <c r="B70" s="462"/>
      <c r="C70" s="462"/>
    </row>
    <row r="71" spans="1:3" ht="15">
      <c r="A71" s="462"/>
      <c r="B71" s="462"/>
      <c r="C71" s="462"/>
    </row>
    <row r="72" spans="1:3" ht="15">
      <c r="A72" s="462"/>
      <c r="B72" s="462"/>
      <c r="C72" s="462"/>
    </row>
    <row r="73" spans="1:3" ht="15">
      <c r="A73" s="462"/>
      <c r="B73" s="462"/>
      <c r="C73" s="462"/>
    </row>
    <row r="74" spans="1:3" ht="15">
      <c r="A74" s="462"/>
      <c r="B74" s="462"/>
      <c r="C74" s="462"/>
    </row>
    <row r="75" spans="1:3" ht="15">
      <c r="A75" s="462"/>
      <c r="B75" s="462"/>
      <c r="C75" s="462"/>
    </row>
    <row r="76" spans="1:3" ht="15">
      <c r="A76" s="462"/>
      <c r="B76" s="462"/>
      <c r="C76" s="462"/>
    </row>
    <row r="77" spans="1:3" ht="15">
      <c r="A77" s="462"/>
      <c r="B77" s="462"/>
      <c r="C77" s="462"/>
    </row>
    <row r="78" spans="1:3" ht="15">
      <c r="A78" s="462"/>
      <c r="B78" s="462"/>
      <c r="C78" s="462"/>
    </row>
    <row r="79" spans="1:3" ht="15">
      <c r="A79" s="462"/>
      <c r="B79" s="462"/>
      <c r="C79" s="462"/>
    </row>
    <row r="80" spans="1:3" ht="15">
      <c r="A80" s="462"/>
      <c r="B80" s="462"/>
      <c r="C80" s="462"/>
    </row>
    <row r="81" spans="1:3" ht="15">
      <c r="A81" s="462"/>
      <c r="B81" s="462"/>
      <c r="C81" s="462"/>
    </row>
    <row r="82" spans="1:3" ht="15">
      <c r="A82" s="462"/>
      <c r="B82" s="462"/>
      <c r="C82" s="462"/>
    </row>
    <row r="83" spans="1:3" ht="15">
      <c r="A83" s="462"/>
      <c r="B83" s="462"/>
      <c r="C83" s="462"/>
    </row>
    <row r="84" spans="1:3" ht="15">
      <c r="A84" s="462"/>
      <c r="B84" s="462"/>
      <c r="C84" s="462"/>
    </row>
    <row r="85" spans="1:3" ht="15">
      <c r="A85" s="462"/>
      <c r="B85" s="462"/>
      <c r="C85" s="462"/>
    </row>
    <row r="86" spans="1:3" ht="15">
      <c r="A86" s="462"/>
      <c r="B86" s="462"/>
      <c r="C86" s="462"/>
    </row>
    <row r="87" spans="1:3" ht="15">
      <c r="A87" s="462"/>
      <c r="B87" s="462"/>
      <c r="C87" s="462"/>
    </row>
    <row r="88" spans="1:3" ht="15">
      <c r="A88" s="462"/>
      <c r="B88" s="462"/>
      <c r="C88" s="462"/>
    </row>
    <row r="89" spans="1:3" ht="15">
      <c r="A89" s="462"/>
      <c r="B89" s="462"/>
      <c r="C89" s="462"/>
    </row>
    <row r="90" spans="1:3" ht="15">
      <c r="A90" s="462"/>
      <c r="B90" s="462"/>
      <c r="C90" s="462"/>
    </row>
    <row r="91" spans="1:3" ht="15">
      <c r="A91" s="462"/>
      <c r="B91" s="462"/>
      <c r="C91" s="462"/>
    </row>
    <row r="92" spans="1:3" ht="15">
      <c r="A92" s="462"/>
      <c r="B92" s="462"/>
      <c r="C92" s="462"/>
    </row>
    <row r="93" spans="1:3" ht="15">
      <c r="A93" s="462"/>
      <c r="B93" s="462"/>
      <c r="C93" s="462"/>
    </row>
    <row r="94" spans="1:3" ht="15">
      <c r="A94" s="462"/>
      <c r="B94" s="462"/>
      <c r="C94" s="462"/>
    </row>
    <row r="95" spans="1:3" ht="15">
      <c r="A95" s="462"/>
      <c r="B95" s="462"/>
      <c r="C95" s="462"/>
    </row>
    <row r="96" spans="1:3" ht="15">
      <c r="A96" s="462"/>
      <c r="B96" s="462"/>
      <c r="C96" s="462"/>
    </row>
    <row r="97" spans="1:3" ht="15">
      <c r="A97" s="462"/>
      <c r="B97" s="462"/>
      <c r="C97" s="462"/>
    </row>
    <row r="98" spans="1:3" ht="15">
      <c r="A98" s="462"/>
      <c r="B98" s="462"/>
      <c r="C98" s="462"/>
    </row>
    <row r="99" spans="1:3" ht="15">
      <c r="A99" s="462"/>
      <c r="B99" s="462"/>
      <c r="C99" s="462"/>
    </row>
    <row r="100" spans="1:3" ht="15">
      <c r="A100" s="462"/>
      <c r="B100" s="462"/>
      <c r="C100" s="462"/>
    </row>
    <row r="101" spans="1:3" ht="15">
      <c r="A101" s="462"/>
      <c r="B101" s="462"/>
      <c r="C101" s="462"/>
    </row>
    <row r="102" spans="1:3" ht="15">
      <c r="A102" s="462"/>
      <c r="B102" s="462"/>
      <c r="C102" s="462"/>
    </row>
    <row r="103" spans="1:3" ht="15">
      <c r="A103" s="462"/>
      <c r="B103" s="462"/>
      <c r="C103" s="462"/>
    </row>
    <row r="104" spans="1:3" ht="15">
      <c r="A104" s="462"/>
      <c r="B104" s="462"/>
      <c r="C104" s="462"/>
    </row>
    <row r="105" spans="1:3" ht="15">
      <c r="A105" s="462"/>
      <c r="B105" s="462"/>
      <c r="C105" s="462"/>
    </row>
    <row r="106" spans="1:3" ht="15">
      <c r="A106" s="462"/>
      <c r="B106" s="462"/>
      <c r="C106" s="462"/>
    </row>
    <row r="107" spans="1:3" ht="15">
      <c r="A107" s="462"/>
      <c r="B107" s="462"/>
      <c r="C107" s="462"/>
    </row>
    <row r="108" spans="1:3" ht="15">
      <c r="A108" s="462"/>
      <c r="B108" s="462"/>
      <c r="C108" s="462"/>
    </row>
    <row r="109" spans="1:3" ht="15">
      <c r="A109" s="462"/>
      <c r="B109" s="462"/>
      <c r="C109" s="462"/>
    </row>
    <row r="110" spans="1:3" ht="15">
      <c r="A110" s="462"/>
      <c r="B110" s="462"/>
      <c r="C110" s="462"/>
    </row>
    <row r="111" spans="1:3" ht="15">
      <c r="A111" s="462"/>
      <c r="B111" s="462"/>
      <c r="C111" s="462"/>
    </row>
    <row r="112" spans="1:3" ht="15">
      <c r="A112" s="462"/>
      <c r="B112" s="462"/>
      <c r="C112" s="462"/>
    </row>
    <row r="113" spans="1:3" ht="15">
      <c r="A113" s="462"/>
      <c r="B113" s="462"/>
      <c r="C113" s="462"/>
    </row>
    <row r="114" spans="1:3" ht="15">
      <c r="A114" s="462"/>
      <c r="B114" s="462"/>
      <c r="C114" s="462"/>
    </row>
    <row r="115" spans="1:3" ht="15">
      <c r="A115" s="462"/>
      <c r="B115" s="462"/>
      <c r="C115" s="462"/>
    </row>
    <row r="116" spans="1:3" ht="15">
      <c r="A116" s="462"/>
      <c r="B116" s="462"/>
      <c r="C116" s="462"/>
    </row>
    <row r="117" spans="1:3" ht="15">
      <c r="A117" s="462"/>
      <c r="B117" s="462"/>
      <c r="C117" s="462"/>
    </row>
    <row r="118" spans="1:3" ht="15">
      <c r="A118" s="462"/>
      <c r="B118" s="462"/>
      <c r="C118" s="462"/>
    </row>
    <row r="119" spans="1:3" ht="15">
      <c r="A119" s="462"/>
      <c r="B119" s="462"/>
      <c r="C119" s="462"/>
    </row>
    <row r="120" spans="1:3" ht="15">
      <c r="A120" s="462"/>
      <c r="B120" s="462"/>
      <c r="C120" s="462"/>
    </row>
    <row r="121" spans="1:3" ht="15">
      <c r="A121" s="462"/>
      <c r="B121" s="462"/>
      <c r="C121" s="462"/>
    </row>
    <row r="122" spans="1:3" ht="15">
      <c r="A122" s="462"/>
      <c r="B122" s="462"/>
      <c r="C122" s="462"/>
    </row>
    <row r="123" spans="1:3" ht="15">
      <c r="A123" s="462"/>
      <c r="B123" s="462"/>
      <c r="C123" s="462"/>
    </row>
    <row r="124" spans="1:3" ht="15">
      <c r="A124" s="462"/>
      <c r="B124" s="462"/>
      <c r="C124" s="462"/>
    </row>
    <row r="125" spans="1:3" ht="15">
      <c r="A125" s="462"/>
      <c r="B125" s="462"/>
      <c r="C125" s="462"/>
    </row>
    <row r="126" spans="1:3" ht="15">
      <c r="A126" s="462"/>
      <c r="B126" s="462"/>
      <c r="C126" s="462"/>
    </row>
    <row r="127" spans="1:3" ht="15">
      <c r="A127" s="462"/>
      <c r="B127" s="462"/>
      <c r="C127" s="462"/>
    </row>
    <row r="128" spans="1:3" ht="15">
      <c r="A128" s="462"/>
      <c r="B128" s="462"/>
      <c r="C128" s="462"/>
    </row>
    <row r="129" spans="1:3" ht="15">
      <c r="A129" s="462"/>
      <c r="B129" s="462"/>
      <c r="C129" s="462"/>
    </row>
    <row r="130" spans="1:3" ht="15">
      <c r="A130" s="462"/>
      <c r="B130" s="462"/>
      <c r="C130" s="462"/>
    </row>
    <row r="131" spans="1:3" ht="15">
      <c r="A131" s="462"/>
      <c r="B131" s="462"/>
      <c r="C131" s="462"/>
    </row>
    <row r="132" spans="1:3" ht="15">
      <c r="A132" s="462"/>
      <c r="B132" s="462"/>
      <c r="C132" s="462"/>
    </row>
    <row r="133" spans="1:3" ht="15">
      <c r="A133" s="462"/>
      <c r="B133" s="462"/>
      <c r="C133" s="462"/>
    </row>
    <row r="134" spans="1:3" ht="15">
      <c r="A134" s="462"/>
      <c r="B134" s="462"/>
      <c r="C134" s="462"/>
    </row>
    <row r="135" spans="1:3" ht="15">
      <c r="A135" s="462"/>
      <c r="B135" s="462"/>
      <c r="C135" s="462"/>
    </row>
    <row r="136" spans="1:3" ht="15">
      <c r="A136" s="462"/>
      <c r="B136" s="462"/>
      <c r="C136" s="462"/>
    </row>
    <row r="137" spans="1:3" ht="15">
      <c r="A137" s="462"/>
      <c r="B137" s="462"/>
      <c r="C137" s="462"/>
    </row>
    <row r="138" spans="1:3" ht="15">
      <c r="A138" s="462"/>
      <c r="B138" s="462"/>
      <c r="C138" s="462"/>
    </row>
    <row r="139" spans="1:3" ht="15">
      <c r="A139" s="462"/>
      <c r="B139" s="462"/>
      <c r="C139" s="462"/>
    </row>
    <row r="140" spans="1:3" ht="15">
      <c r="A140" s="462"/>
      <c r="B140" s="462"/>
      <c r="C140" s="462"/>
    </row>
    <row r="141" spans="1:3" ht="15">
      <c r="A141" s="462"/>
      <c r="B141" s="462"/>
      <c r="C141" s="462"/>
    </row>
    <row r="142" spans="1:3" ht="15">
      <c r="A142" s="462"/>
      <c r="B142" s="462"/>
      <c r="C142" s="462"/>
    </row>
    <row r="143" spans="1:3" ht="15">
      <c r="A143" s="462"/>
      <c r="B143" s="462"/>
      <c r="C143" s="462"/>
    </row>
    <row r="144" spans="1:3" ht="15">
      <c r="A144" s="462"/>
      <c r="B144" s="462"/>
      <c r="C144" s="462"/>
    </row>
    <row r="145" spans="1:3" ht="15">
      <c r="A145" s="462"/>
      <c r="B145" s="462"/>
      <c r="C145" s="462"/>
    </row>
    <row r="146" spans="1:3" ht="15">
      <c r="A146" s="462"/>
      <c r="B146" s="462"/>
      <c r="C146" s="462"/>
    </row>
    <row r="147" spans="1:3" ht="15">
      <c r="A147" s="462"/>
      <c r="B147" s="462"/>
      <c r="C147" s="462"/>
    </row>
    <row r="148" spans="1:3" ht="15">
      <c r="A148" s="462"/>
      <c r="B148" s="462"/>
      <c r="C148" s="462"/>
    </row>
    <row r="149" spans="1:3" ht="15">
      <c r="A149" s="462"/>
      <c r="B149" s="462"/>
      <c r="C149" s="462"/>
    </row>
    <row r="150" spans="1:3" ht="15">
      <c r="A150" s="462"/>
      <c r="B150" s="462"/>
      <c r="C150" s="462"/>
    </row>
    <row r="151" spans="1:3" ht="15">
      <c r="A151" s="462"/>
      <c r="B151" s="462"/>
      <c r="C151" s="462"/>
    </row>
    <row r="152" spans="1:3" ht="15">
      <c r="A152" s="462"/>
      <c r="B152" s="462"/>
      <c r="C152" s="462"/>
    </row>
    <row r="153" spans="1:3" ht="15">
      <c r="A153" s="462"/>
      <c r="B153" s="462"/>
      <c r="C153" s="462"/>
    </row>
    <row r="154" spans="1:3" ht="15">
      <c r="A154" s="462"/>
      <c r="B154" s="462"/>
      <c r="C154" s="462"/>
    </row>
    <row r="155" spans="1:3" ht="15">
      <c r="A155" s="462"/>
      <c r="B155" s="462"/>
      <c r="C155" s="462"/>
    </row>
    <row r="156" spans="1:3" ht="15">
      <c r="A156" s="462"/>
      <c r="B156" s="462"/>
      <c r="C156" s="462"/>
    </row>
    <row r="157" spans="1:3" ht="15">
      <c r="A157" s="462"/>
      <c r="B157" s="462"/>
      <c r="C157" s="462"/>
    </row>
    <row r="158" spans="1:3" ht="15">
      <c r="A158" s="462"/>
      <c r="B158" s="462"/>
      <c r="C158" s="462"/>
    </row>
    <row r="159" spans="1:3" ht="15">
      <c r="A159" s="462"/>
      <c r="B159" s="462"/>
      <c r="C159" s="462"/>
    </row>
    <row r="160" spans="1:3" ht="15">
      <c r="A160" s="462"/>
      <c r="B160" s="462"/>
      <c r="C160" s="462"/>
    </row>
    <row r="161" spans="1:3" ht="15">
      <c r="A161" s="462"/>
      <c r="B161" s="462"/>
      <c r="C161" s="462"/>
    </row>
    <row r="162" spans="1:3" ht="15">
      <c r="A162" s="462"/>
      <c r="B162" s="462"/>
      <c r="C162" s="462"/>
    </row>
    <row r="163" spans="1:3" ht="15">
      <c r="A163" s="462"/>
      <c r="B163" s="462"/>
      <c r="C163" s="462"/>
    </row>
    <row r="164" spans="1:3" ht="15">
      <c r="A164" s="462"/>
      <c r="B164" s="462"/>
      <c r="C164" s="462"/>
    </row>
    <row r="165" spans="1:3" ht="15">
      <c r="A165" s="462"/>
      <c r="B165" s="462"/>
      <c r="C165" s="462"/>
    </row>
    <row r="166" spans="1:3" ht="15">
      <c r="A166" s="462"/>
      <c r="B166" s="462"/>
      <c r="C166" s="462"/>
    </row>
    <row r="167" spans="1:3" ht="15">
      <c r="A167" s="462"/>
      <c r="B167" s="462"/>
      <c r="C167" s="462"/>
    </row>
    <row r="168" spans="1:3" ht="15">
      <c r="A168" s="462"/>
      <c r="B168" s="462"/>
      <c r="C168" s="462"/>
    </row>
    <row r="169" spans="1:3" ht="15">
      <c r="A169" s="462"/>
      <c r="B169" s="462"/>
      <c r="C169" s="462"/>
    </row>
    <row r="170" spans="1:3" ht="15">
      <c r="A170" s="462"/>
      <c r="B170" s="462"/>
      <c r="C170" s="462"/>
    </row>
    <row r="171" spans="1:3" ht="15">
      <c r="A171" s="462"/>
      <c r="B171" s="462"/>
      <c r="C171" s="462"/>
    </row>
    <row r="172" spans="1:3" ht="15">
      <c r="A172" s="462"/>
      <c r="B172" s="462"/>
      <c r="C172" s="462"/>
    </row>
    <row r="173" spans="1:3" ht="15">
      <c r="A173" s="462"/>
      <c r="B173" s="462"/>
      <c r="C173" s="462"/>
    </row>
    <row r="174" spans="1:3" ht="15">
      <c r="A174" s="462"/>
      <c r="B174" s="462"/>
      <c r="C174" s="462"/>
    </row>
    <row r="175" spans="1:3" ht="15">
      <c r="A175" s="462"/>
      <c r="B175" s="462"/>
      <c r="C175" s="462"/>
    </row>
    <row r="176" spans="1:3" ht="15">
      <c r="A176" s="462"/>
      <c r="B176" s="462"/>
      <c r="C176" s="462"/>
    </row>
    <row r="177" spans="1:3" ht="15">
      <c r="A177" s="462"/>
      <c r="B177" s="462"/>
      <c r="C177" s="462"/>
    </row>
    <row r="178" spans="1:3" ht="15">
      <c r="A178" s="462"/>
      <c r="B178" s="462"/>
      <c r="C178" s="462"/>
    </row>
    <row r="179" spans="1:3" ht="15">
      <c r="A179" s="462"/>
      <c r="B179" s="462"/>
      <c r="C179" s="462"/>
    </row>
    <row r="180" spans="1:3" ht="15">
      <c r="A180" s="462"/>
      <c r="B180" s="462"/>
      <c r="C180" s="462"/>
    </row>
    <row r="181" spans="1:3" ht="15">
      <c r="A181" s="462"/>
      <c r="B181" s="462"/>
      <c r="C181" s="462"/>
    </row>
    <row r="182" spans="1:3" ht="15">
      <c r="A182" s="462"/>
      <c r="B182" s="462"/>
      <c r="C182" s="462"/>
    </row>
    <row r="183" spans="1:3" ht="15">
      <c r="A183" s="462"/>
      <c r="B183" s="462"/>
      <c r="C183" s="462"/>
    </row>
    <row r="184" spans="1:3" ht="15">
      <c r="A184" s="462"/>
      <c r="B184" s="462"/>
      <c r="C184" s="462"/>
    </row>
    <row r="185" spans="1:3" ht="15">
      <c r="A185" s="462"/>
      <c r="B185" s="462"/>
      <c r="C185" s="462"/>
    </row>
    <row r="186" spans="1:3" ht="15">
      <c r="A186" s="462"/>
      <c r="B186" s="462"/>
      <c r="C186" s="462"/>
    </row>
    <row r="187" spans="1:3" ht="15">
      <c r="A187" s="462"/>
      <c r="B187" s="462"/>
      <c r="C187" s="462"/>
    </row>
    <row r="188" spans="1:3" ht="15">
      <c r="A188" s="462"/>
      <c r="B188" s="462"/>
      <c r="C188" s="462"/>
    </row>
    <row r="189" spans="1:3" ht="15">
      <c r="A189" s="462"/>
      <c r="B189" s="462"/>
      <c r="C189" s="462"/>
    </row>
    <row r="190" spans="1:3" ht="15">
      <c r="A190" s="462"/>
      <c r="B190" s="462"/>
      <c r="C190" s="462"/>
    </row>
    <row r="191" spans="1:3" ht="15">
      <c r="A191" s="462"/>
      <c r="B191" s="462"/>
      <c r="C191" s="462"/>
    </row>
    <row r="192" spans="1:3" ht="15">
      <c r="A192" s="462"/>
      <c r="B192" s="462"/>
      <c r="C192" s="462"/>
    </row>
    <row r="193" spans="1:3" ht="15">
      <c r="A193" s="462"/>
      <c r="B193" s="462"/>
      <c r="C193" s="462"/>
    </row>
    <row r="194" spans="1:3" ht="15">
      <c r="A194" s="462"/>
      <c r="B194" s="462"/>
      <c r="C194" s="462"/>
    </row>
    <row r="195" spans="1:3" ht="15">
      <c r="A195" s="462"/>
      <c r="B195" s="462"/>
      <c r="C195" s="462"/>
    </row>
    <row r="196" spans="1:3" ht="15">
      <c r="A196" s="462"/>
      <c r="B196" s="462"/>
      <c r="C196" s="462"/>
    </row>
    <row r="197" spans="1:3" ht="15">
      <c r="A197" s="462"/>
      <c r="B197" s="462"/>
      <c r="C197" s="462"/>
    </row>
    <row r="198" spans="1:3" ht="15">
      <c r="A198" s="462"/>
      <c r="B198" s="462"/>
      <c r="C198" s="462"/>
    </row>
    <row r="199" spans="1:3" ht="15">
      <c r="A199" s="462"/>
      <c r="B199" s="462"/>
      <c r="C199" s="462"/>
    </row>
    <row r="200" spans="1:3" ht="15">
      <c r="A200" s="462"/>
      <c r="B200" s="462"/>
      <c r="C200" s="462"/>
    </row>
    <row r="201" spans="1:3" ht="15">
      <c r="A201" s="462"/>
      <c r="B201" s="462"/>
      <c r="C201" s="462"/>
    </row>
    <row r="202" spans="1:3" ht="15">
      <c r="A202" s="462"/>
      <c r="B202" s="462"/>
      <c r="C202" s="462"/>
    </row>
    <row r="203" spans="1:3" ht="15">
      <c r="A203" s="462"/>
      <c r="B203" s="462"/>
      <c r="C203" s="462"/>
    </row>
    <row r="204" spans="1:3" ht="15">
      <c r="A204" s="462"/>
      <c r="B204" s="462"/>
      <c r="C204" s="462"/>
    </row>
    <row r="205" spans="1:3" ht="15">
      <c r="A205" s="462"/>
      <c r="B205" s="462"/>
      <c r="C205" s="462"/>
    </row>
    <row r="206" spans="1:3" ht="15">
      <c r="A206" s="462"/>
      <c r="B206" s="462"/>
      <c r="C206" s="462"/>
    </row>
    <row r="207" spans="1:3" ht="15">
      <c r="A207" s="462"/>
      <c r="B207" s="462"/>
      <c r="C207" s="462"/>
    </row>
    <row r="208" spans="1:3" ht="15">
      <c r="A208" s="462"/>
      <c r="B208" s="462"/>
      <c r="C208" s="462"/>
    </row>
    <row r="209" spans="1:3" ht="15">
      <c r="A209" s="462"/>
      <c r="B209" s="462"/>
      <c r="C209" s="462"/>
    </row>
    <row r="210" spans="1:3" ht="15">
      <c r="A210" s="462"/>
      <c r="B210" s="462"/>
      <c r="C210" s="462"/>
    </row>
    <row r="211" spans="1:3" ht="15">
      <c r="A211" s="462"/>
      <c r="B211" s="462"/>
      <c r="C211" s="462"/>
    </row>
    <row r="212" spans="1:3" ht="15">
      <c r="A212" s="462"/>
      <c r="B212" s="462"/>
      <c r="C212" s="462"/>
    </row>
    <row r="213" spans="1:3" ht="15">
      <c r="A213" s="462"/>
      <c r="B213" s="462"/>
      <c r="C213" s="462"/>
    </row>
    <row r="214" spans="1:3" ht="15">
      <c r="A214" s="462"/>
      <c r="B214" s="462"/>
      <c r="C214" s="462"/>
    </row>
    <row r="215" spans="1:3" ht="15">
      <c r="A215" s="462"/>
      <c r="B215" s="462"/>
      <c r="C215" s="462"/>
    </row>
    <row r="216" spans="1:3" ht="15">
      <c r="A216" s="462"/>
      <c r="B216" s="462"/>
      <c r="C216" s="462"/>
    </row>
    <row r="217" spans="1:3" ht="15">
      <c r="A217" s="462"/>
      <c r="B217" s="462"/>
      <c r="C217" s="462"/>
    </row>
    <row r="218" spans="1:3" ht="15">
      <c r="A218" s="462"/>
      <c r="B218" s="462"/>
      <c r="C218" s="462"/>
    </row>
    <row r="219" spans="1:3" ht="15">
      <c r="A219" s="462"/>
      <c r="B219" s="462"/>
      <c r="C219" s="462"/>
    </row>
    <row r="220" spans="1:3" ht="15">
      <c r="A220" s="462"/>
      <c r="B220" s="462"/>
      <c r="C220" s="462"/>
    </row>
    <row r="221" spans="1:3" ht="15">
      <c r="A221" s="462"/>
      <c r="B221" s="462"/>
      <c r="C221" s="462"/>
    </row>
    <row r="222" spans="1:3" ht="15">
      <c r="A222" s="462"/>
      <c r="B222" s="462"/>
      <c r="C222" s="462"/>
    </row>
    <row r="223" spans="1:3" ht="15">
      <c r="A223" s="462"/>
      <c r="B223" s="462"/>
      <c r="C223" s="462"/>
    </row>
    <row r="224" spans="1:3" ht="15">
      <c r="A224" s="462"/>
      <c r="B224" s="462"/>
      <c r="C224" s="462"/>
    </row>
    <row r="225" spans="1:3" ht="15">
      <c r="A225" s="462"/>
      <c r="B225" s="462"/>
      <c r="C225" s="462"/>
    </row>
    <row r="226" spans="1:3" ht="15">
      <c r="A226" s="462"/>
      <c r="B226" s="462"/>
      <c r="C226" s="462"/>
    </row>
    <row r="227" spans="1:3" ht="15">
      <c r="A227" s="462"/>
      <c r="B227" s="462"/>
      <c r="C227" s="462"/>
    </row>
    <row r="228" spans="1:3" ht="15">
      <c r="A228" s="462"/>
      <c r="B228" s="462"/>
      <c r="C228" s="462"/>
    </row>
    <row r="229" spans="1:3" ht="15">
      <c r="A229" s="462"/>
      <c r="B229" s="462"/>
      <c r="C229" s="462"/>
    </row>
    <row r="230" spans="1:3" ht="15">
      <c r="A230" s="462"/>
      <c r="B230" s="462"/>
      <c r="C230" s="462"/>
    </row>
    <row r="231" spans="1:3" ht="15">
      <c r="A231" s="462"/>
      <c r="B231" s="462"/>
      <c r="C231" s="462"/>
    </row>
    <row r="232" spans="1:3" ht="15">
      <c r="A232" s="462"/>
      <c r="B232" s="462"/>
      <c r="C232" s="462"/>
    </row>
    <row r="233" spans="1:3" ht="15">
      <c r="A233" s="462"/>
      <c r="B233" s="462"/>
      <c r="C233" s="462"/>
    </row>
    <row r="234" spans="1:3" ht="15">
      <c r="A234" s="462"/>
      <c r="B234" s="462"/>
      <c r="C234" s="462"/>
    </row>
    <row r="235" spans="1:3" ht="15">
      <c r="A235" s="462"/>
      <c r="B235" s="462"/>
      <c r="C235" s="462"/>
    </row>
    <row r="236" spans="1:3" ht="15">
      <c r="A236" s="462"/>
      <c r="B236" s="462"/>
      <c r="C236" s="462"/>
    </row>
    <row r="237" spans="1:3" ht="15">
      <c r="A237" s="462"/>
      <c r="B237" s="462"/>
      <c r="C237" s="462"/>
    </row>
    <row r="238" spans="1:3" ht="15">
      <c r="A238" s="462"/>
      <c r="B238" s="462"/>
      <c r="C238" s="462"/>
    </row>
    <row r="239" spans="1:3" ht="15">
      <c r="A239" s="462"/>
      <c r="B239" s="462"/>
      <c r="C239" s="462"/>
    </row>
    <row r="240" spans="1:3" ht="15">
      <c r="A240" s="462"/>
      <c r="B240" s="462"/>
      <c r="C240" s="462"/>
    </row>
    <row r="241" spans="1:3" ht="15">
      <c r="A241" s="462"/>
      <c r="B241" s="462"/>
      <c r="C241" s="462"/>
    </row>
    <row r="242" spans="1:3" ht="15">
      <c r="A242" s="462"/>
      <c r="B242" s="462"/>
      <c r="C242" s="462"/>
    </row>
    <row r="243" spans="1:3" ht="15">
      <c r="A243" s="462"/>
      <c r="B243" s="462"/>
      <c r="C243" s="462"/>
    </row>
    <row r="244" spans="1:3" ht="15">
      <c r="A244" s="462"/>
      <c r="B244" s="462"/>
      <c r="C244" s="462"/>
    </row>
    <row r="245" spans="1:3" ht="15">
      <c r="A245" s="462"/>
      <c r="B245" s="462"/>
      <c r="C245" s="462"/>
    </row>
    <row r="246" spans="1:3" ht="15">
      <c r="A246" s="462"/>
      <c r="B246" s="462"/>
      <c r="C246" s="462"/>
    </row>
    <row r="247" spans="1:3" ht="15">
      <c r="A247" s="462"/>
      <c r="B247" s="462"/>
      <c r="C247" s="462"/>
    </row>
    <row r="248" spans="1:3" ht="15">
      <c r="A248" s="462"/>
      <c r="B248" s="462"/>
      <c r="C248" s="462"/>
    </row>
    <row r="249" spans="1:3" ht="15">
      <c r="A249" s="462"/>
      <c r="B249" s="462"/>
      <c r="C249" s="462"/>
    </row>
    <row r="250" spans="1:3" ht="15">
      <c r="A250" s="462"/>
      <c r="B250" s="462"/>
      <c r="C250" s="462"/>
    </row>
    <row r="251" spans="1:3" ht="15">
      <c r="A251" s="462"/>
      <c r="B251" s="462"/>
      <c r="C251" s="462"/>
    </row>
    <row r="252" spans="1:3" ht="15">
      <c r="A252" s="462"/>
      <c r="B252" s="462"/>
      <c r="C252" s="462"/>
    </row>
    <row r="253" spans="1:3" ht="15">
      <c r="A253" s="462"/>
      <c r="B253" s="462"/>
      <c r="C253" s="462"/>
    </row>
    <row r="254" spans="1:3" ht="15">
      <c r="A254" s="462"/>
      <c r="B254" s="462"/>
      <c r="C254" s="462"/>
    </row>
    <row r="255" spans="1:3" ht="15">
      <c r="A255" s="462"/>
      <c r="B255" s="462"/>
      <c r="C255" s="462"/>
    </row>
    <row r="256" spans="1:3" ht="15">
      <c r="A256" s="462"/>
      <c r="B256" s="462"/>
      <c r="C256" s="462"/>
    </row>
    <row r="257" spans="1:3" ht="15">
      <c r="A257" s="462"/>
      <c r="B257" s="462"/>
      <c r="C257" s="462"/>
    </row>
    <row r="258" spans="1:3" ht="15">
      <c r="A258" s="462"/>
      <c r="B258" s="462"/>
      <c r="C258" s="462"/>
    </row>
    <row r="259" spans="1:3" ht="15">
      <c r="A259" s="462"/>
      <c r="B259" s="462"/>
      <c r="C259" s="462"/>
    </row>
    <row r="260" spans="1:3" ht="15">
      <c r="A260" s="462"/>
      <c r="B260" s="462"/>
      <c r="C260" s="462"/>
    </row>
    <row r="261" spans="1:3" ht="15">
      <c r="A261" s="462"/>
      <c r="B261" s="462"/>
      <c r="C261" s="462"/>
    </row>
    <row r="262" spans="1:3" ht="15">
      <c r="A262" s="462"/>
      <c r="B262" s="462"/>
      <c r="C262" s="462"/>
    </row>
    <row r="263" spans="1:3" ht="15">
      <c r="A263" s="462"/>
      <c r="B263" s="462"/>
      <c r="C263" s="462"/>
    </row>
    <row r="264" spans="1:3" ht="15">
      <c r="A264" s="462"/>
      <c r="B264" s="462"/>
      <c r="C264" s="462"/>
    </row>
    <row r="265" spans="1:3" ht="15">
      <c r="A265" s="462"/>
      <c r="B265" s="462"/>
      <c r="C265" s="462"/>
    </row>
    <row r="266" spans="1:3" ht="15">
      <c r="A266" s="462"/>
      <c r="B266" s="462"/>
      <c r="C266" s="462"/>
    </row>
    <row r="267" spans="1:3" ht="15">
      <c r="A267" s="462"/>
      <c r="B267" s="462"/>
      <c r="C267" s="462"/>
    </row>
    <row r="268" spans="1:3" ht="15">
      <c r="A268" s="462"/>
      <c r="B268" s="462"/>
      <c r="C268" s="462"/>
    </row>
    <row r="269" spans="1:3" ht="15">
      <c r="A269" s="462"/>
      <c r="B269" s="462"/>
      <c r="C269" s="462"/>
    </row>
    <row r="270" spans="1:3" ht="15">
      <c r="A270" s="462"/>
      <c r="B270" s="462"/>
      <c r="C270" s="462"/>
    </row>
    <row r="271" spans="1:3" ht="15">
      <c r="A271" s="462"/>
      <c r="B271" s="462"/>
      <c r="C271" s="462"/>
    </row>
    <row r="272" spans="1:3" ht="15">
      <c r="A272" s="462"/>
      <c r="B272" s="462"/>
      <c r="C272" s="462"/>
    </row>
    <row r="273" spans="1:3" ht="15">
      <c r="A273" s="462"/>
      <c r="B273" s="462"/>
      <c r="C273" s="462"/>
    </row>
    <row r="274" spans="1:3" ht="15">
      <c r="A274" s="462"/>
      <c r="B274" s="462"/>
      <c r="C274" s="462"/>
    </row>
    <row r="275" spans="1:3" ht="15">
      <c r="A275" s="462"/>
      <c r="B275" s="462"/>
      <c r="C275" s="462"/>
    </row>
    <row r="276" spans="1:3" ht="15">
      <c r="A276" s="462"/>
      <c r="B276" s="462"/>
      <c r="C276" s="462"/>
    </row>
    <row r="277" spans="1:3" ht="15">
      <c r="A277" s="462"/>
      <c r="B277" s="462"/>
      <c r="C277" s="462"/>
    </row>
    <row r="278" spans="1:3" ht="15">
      <c r="A278" s="462"/>
      <c r="B278" s="462"/>
      <c r="C278" s="462"/>
    </row>
    <row r="279" spans="1:3" ht="15">
      <c r="A279" s="462"/>
      <c r="B279" s="462"/>
      <c r="C279" s="462"/>
    </row>
    <row r="280" spans="1:3" ht="15">
      <c r="A280" s="462"/>
      <c r="B280" s="462"/>
      <c r="C280" s="462"/>
    </row>
    <row r="281" spans="1:3" ht="15">
      <c r="A281" s="462"/>
      <c r="B281" s="462"/>
      <c r="C281" s="462"/>
    </row>
    <row r="282" spans="1:3" ht="15">
      <c r="A282" s="462"/>
      <c r="B282" s="462"/>
      <c r="C282" s="462"/>
    </row>
    <row r="283" spans="1:3" ht="15">
      <c r="A283" s="462"/>
      <c r="B283" s="462"/>
      <c r="C283" s="462"/>
    </row>
    <row r="284" spans="1:3" ht="15">
      <c r="A284" s="462"/>
      <c r="B284" s="462"/>
      <c r="C284" s="462"/>
    </row>
    <row r="285" spans="1:3" ht="15">
      <c r="A285" s="462"/>
      <c r="B285" s="462"/>
      <c r="C285" s="462"/>
    </row>
    <row r="286" spans="1:3" ht="15">
      <c r="A286" s="462"/>
      <c r="B286" s="462"/>
      <c r="C286" s="462"/>
    </row>
    <row r="287" spans="1:3" ht="15">
      <c r="A287" s="462"/>
      <c r="B287" s="462"/>
      <c r="C287" s="462"/>
    </row>
    <row r="288" spans="1:3" ht="15">
      <c r="A288" s="462"/>
      <c r="B288" s="462"/>
      <c r="C288" s="462"/>
    </row>
    <row r="289" spans="1:3" ht="15">
      <c r="A289" s="462"/>
      <c r="B289" s="462"/>
      <c r="C289" s="462"/>
    </row>
    <row r="290" spans="1:3" ht="15">
      <c r="A290" s="462"/>
      <c r="B290" s="462"/>
      <c r="C290" s="462"/>
    </row>
    <row r="291" spans="1:3" ht="15">
      <c r="A291" s="462"/>
      <c r="B291" s="462"/>
      <c r="C291" s="462"/>
    </row>
    <row r="292" spans="1:3" ht="15">
      <c r="A292" s="462"/>
      <c r="B292" s="462"/>
      <c r="C292" s="462"/>
    </row>
    <row r="293" spans="1:3" ht="15">
      <c r="A293" s="462"/>
      <c r="B293" s="462"/>
      <c r="C293" s="462"/>
    </row>
    <row r="294" spans="1:3" ht="15">
      <c r="A294" s="462"/>
      <c r="B294" s="462"/>
      <c r="C294" s="462"/>
    </row>
    <row r="295" spans="1:3" ht="15">
      <c r="A295" s="462"/>
      <c r="B295" s="462"/>
      <c r="C295" s="462"/>
    </row>
    <row r="296" spans="1:3" ht="15">
      <c r="A296" s="462"/>
      <c r="B296" s="462"/>
      <c r="C296" s="462"/>
    </row>
    <row r="297" spans="1:3" ht="15">
      <c r="A297" s="462"/>
      <c r="B297" s="462"/>
      <c r="C297" s="462"/>
    </row>
    <row r="298" spans="1:3" ht="15">
      <c r="A298" s="462"/>
      <c r="B298" s="462"/>
      <c r="C298" s="462"/>
    </row>
    <row r="299" spans="1:3" ht="15">
      <c r="A299" s="462"/>
      <c r="B299" s="462"/>
      <c r="C299" s="462"/>
    </row>
    <row r="300" spans="1:3" ht="15">
      <c r="A300" s="462"/>
      <c r="B300" s="462"/>
      <c r="C300" s="462"/>
    </row>
  </sheetData>
  <sheetProtection password="A20C" sheet="1" objects="1" scenarios="1"/>
  <hyperlinks>
    <hyperlink ref="A1:E1" location="Transportation!B3" display="Transportation"/>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wksLandUseV">
    <tabColor theme="9" tint="-0.24997000396251678"/>
  </sheetPr>
  <dimension ref="A1:J300"/>
  <sheetViews>
    <sheetView showGridLines="0" showRowColHeaders="0" zoomScalePageLayoutView="0" workbookViewId="0" topLeftCell="F1">
      <selection activeCell="A4" sqref="A4"/>
    </sheetView>
  </sheetViews>
  <sheetFormatPr defaultColWidth="9.140625" defaultRowHeight="15"/>
  <cols>
    <col min="1" max="1" width="28.8515625" style="0" customWidth="1"/>
    <col min="2" max="2" width="8.57421875" style="0" customWidth="1"/>
    <col min="3" max="3" width="16.421875" style="0" customWidth="1"/>
    <col min="4" max="4" width="8.8515625" style="0" bestFit="1" customWidth="1"/>
    <col min="5" max="5" width="23.00390625" style="0" bestFit="1" customWidth="1"/>
    <col min="6" max="6" width="24.421875" style="0" bestFit="1" customWidth="1"/>
    <col min="7" max="7" width="24.140625" style="0" bestFit="1" customWidth="1"/>
    <col min="8" max="8" width="20.28125" style="0" bestFit="1" customWidth="1"/>
    <col min="9" max="9" width="21.8515625" style="0" bestFit="1" customWidth="1"/>
    <col min="10" max="10" width="21.57421875" style="0" bestFit="1" customWidth="1"/>
  </cols>
  <sheetData>
    <row r="1" spans="1:10" ht="18.75">
      <c r="A1" s="464" t="s">
        <v>6</v>
      </c>
      <c r="F1" s="25" t="s">
        <v>61</v>
      </c>
      <c r="I1" s="26"/>
      <c r="J1" s="26"/>
    </row>
    <row r="2" ht="18.75">
      <c r="F2" s="25"/>
    </row>
    <row r="3" spans="1:10" ht="15.75">
      <c r="A3" s="27" t="s">
        <v>62</v>
      </c>
      <c r="B3" s="27" t="s">
        <v>63</v>
      </c>
      <c r="C3" s="27" t="s">
        <v>64</v>
      </c>
      <c r="D3" s="27" t="s">
        <v>67</v>
      </c>
      <c r="E3" s="27" t="s">
        <v>65</v>
      </c>
      <c r="F3" s="27" t="s">
        <v>66</v>
      </c>
      <c r="G3" s="27" t="s">
        <v>68</v>
      </c>
      <c r="H3" s="27" t="s">
        <v>69</v>
      </c>
      <c r="I3" s="27" t="s">
        <v>70</v>
      </c>
      <c r="J3" s="27" t="s">
        <v>71</v>
      </c>
    </row>
    <row r="4" spans="1:10" ht="15">
      <c r="A4" s="462" t="s">
        <v>255</v>
      </c>
      <c r="B4" s="462">
        <v>42.2</v>
      </c>
      <c r="C4" s="462" t="s">
        <v>768</v>
      </c>
      <c r="D4" s="462"/>
      <c r="E4" s="462">
        <v>12.1</v>
      </c>
      <c r="F4" s="462">
        <v>510.62</v>
      </c>
      <c r="G4" s="462">
        <v>2701.31</v>
      </c>
      <c r="H4" s="462">
        <v>10.27</v>
      </c>
      <c r="I4" s="462">
        <v>433.27</v>
      </c>
      <c r="J4" s="462">
        <v>2292.13</v>
      </c>
    </row>
    <row r="5" spans="1:10" ht="15">
      <c r="A5" s="462"/>
      <c r="B5" s="462"/>
      <c r="C5" s="462"/>
      <c r="D5" s="462"/>
      <c r="E5" s="462"/>
      <c r="F5" s="462"/>
      <c r="G5" s="462"/>
      <c r="H5" s="462"/>
      <c r="I5" s="462"/>
      <c r="J5" s="462"/>
    </row>
    <row r="6" spans="1:10" ht="15">
      <c r="A6" s="462"/>
      <c r="B6" s="462"/>
      <c r="C6" s="462"/>
      <c r="D6" s="462"/>
      <c r="E6" s="462"/>
      <c r="F6" s="462"/>
      <c r="G6" s="462"/>
      <c r="H6" s="462"/>
      <c r="I6" s="462"/>
      <c r="J6" s="462"/>
    </row>
    <row r="7" spans="1:10" ht="15">
      <c r="A7" s="462"/>
      <c r="B7" s="462"/>
      <c r="C7" s="462"/>
      <c r="D7" s="462"/>
      <c r="E7" s="462"/>
      <c r="F7" s="462"/>
      <c r="G7" s="462"/>
      <c r="H7" s="462"/>
      <c r="I7" s="462"/>
      <c r="J7" s="462"/>
    </row>
    <row r="8" spans="1:10" ht="15">
      <c r="A8" s="462"/>
      <c r="B8" s="462"/>
      <c r="C8" s="462"/>
      <c r="D8" s="462"/>
      <c r="E8" s="462"/>
      <c r="F8" s="462"/>
      <c r="G8" s="462"/>
      <c r="H8" s="462"/>
      <c r="I8" s="462"/>
      <c r="J8" s="462"/>
    </row>
    <row r="9" spans="1:10" ht="15">
      <c r="A9" s="462"/>
      <c r="B9" s="462"/>
      <c r="C9" s="462"/>
      <c r="D9" s="462"/>
      <c r="E9" s="462"/>
      <c r="F9" s="462"/>
      <c r="G9" s="462"/>
      <c r="H9" s="462"/>
      <c r="I9" s="462"/>
      <c r="J9" s="462"/>
    </row>
    <row r="10" spans="1:10" ht="15">
      <c r="A10" s="462"/>
      <c r="B10" s="462"/>
      <c r="C10" s="462"/>
      <c r="D10" s="462"/>
      <c r="E10" s="462"/>
      <c r="F10" s="462"/>
      <c r="G10" s="462"/>
      <c r="H10" s="462"/>
      <c r="I10" s="462"/>
      <c r="J10" s="462"/>
    </row>
    <row r="11" spans="1:10" ht="15">
      <c r="A11" s="462"/>
      <c r="B11" s="462"/>
      <c r="C11" s="462"/>
      <c r="D11" s="462"/>
      <c r="E11" s="462"/>
      <c r="F11" s="462"/>
      <c r="G11" s="462"/>
      <c r="H11" s="462"/>
      <c r="I11" s="462"/>
      <c r="J11" s="462"/>
    </row>
    <row r="12" spans="1:10" ht="15">
      <c r="A12" s="462"/>
      <c r="B12" s="462"/>
      <c r="C12" s="462"/>
      <c r="D12" s="462"/>
      <c r="E12" s="462"/>
      <c r="F12" s="462"/>
      <c r="G12" s="462"/>
      <c r="H12" s="462"/>
      <c r="I12" s="462"/>
      <c r="J12" s="462"/>
    </row>
    <row r="13" spans="1:10" ht="15">
      <c r="A13" s="462"/>
      <c r="B13" s="462"/>
      <c r="C13" s="462"/>
      <c r="D13" s="462"/>
      <c r="E13" s="462"/>
      <c r="F13" s="462"/>
      <c r="G13" s="462"/>
      <c r="H13" s="462"/>
      <c r="I13" s="462"/>
      <c r="J13" s="462"/>
    </row>
    <row r="14" spans="1:10" ht="15">
      <c r="A14" s="462"/>
      <c r="B14" s="462"/>
      <c r="C14" s="462"/>
      <c r="D14" s="462"/>
      <c r="E14" s="462"/>
      <c r="F14" s="462"/>
      <c r="G14" s="462"/>
      <c r="H14" s="462"/>
      <c r="I14" s="462"/>
      <c r="J14" s="462"/>
    </row>
    <row r="15" spans="1:10" ht="15">
      <c r="A15" s="462"/>
      <c r="B15" s="462"/>
      <c r="C15" s="462"/>
      <c r="D15" s="462"/>
      <c r="E15" s="462"/>
      <c r="F15" s="462"/>
      <c r="G15" s="462"/>
      <c r="H15" s="462"/>
      <c r="I15" s="462"/>
      <c r="J15" s="462"/>
    </row>
    <row r="16" spans="1:10" ht="15">
      <c r="A16" s="462"/>
      <c r="B16" s="462"/>
      <c r="C16" s="462"/>
      <c r="D16" s="462"/>
      <c r="E16" s="462"/>
      <c r="F16" s="462"/>
      <c r="G16" s="462"/>
      <c r="H16" s="462"/>
      <c r="I16" s="462"/>
      <c r="J16" s="462"/>
    </row>
    <row r="17" spans="1:10" ht="15">
      <c r="A17" s="462"/>
      <c r="B17" s="462"/>
      <c r="C17" s="462"/>
      <c r="D17" s="462"/>
      <c r="E17" s="462"/>
      <c r="F17" s="462"/>
      <c r="G17" s="462"/>
      <c r="H17" s="462"/>
      <c r="I17" s="462"/>
      <c r="J17" s="462"/>
    </row>
    <row r="18" spans="1:10" ht="15">
      <c r="A18" s="462"/>
      <c r="B18" s="462"/>
      <c r="C18" s="462"/>
      <c r="D18" s="462"/>
      <c r="E18" s="462"/>
      <c r="F18" s="462"/>
      <c r="G18" s="462"/>
      <c r="H18" s="462"/>
      <c r="I18" s="462"/>
      <c r="J18" s="462"/>
    </row>
    <row r="19" spans="1:10" ht="15">
      <c r="A19" s="462"/>
      <c r="B19" s="462"/>
      <c r="C19" s="462"/>
      <c r="D19" s="462"/>
      <c r="E19" s="462"/>
      <c r="F19" s="462"/>
      <c r="G19" s="462"/>
      <c r="H19" s="462"/>
      <c r="I19" s="462"/>
      <c r="J19" s="462"/>
    </row>
    <row r="20" spans="1:10" ht="15">
      <c r="A20" s="462"/>
      <c r="B20" s="462"/>
      <c r="C20" s="462"/>
      <c r="D20" s="462"/>
      <c r="E20" s="462"/>
      <c r="F20" s="462"/>
      <c r="G20" s="462"/>
      <c r="H20" s="462"/>
      <c r="I20" s="462"/>
      <c r="J20" s="462"/>
    </row>
    <row r="21" spans="1:10" ht="15">
      <c r="A21" s="462"/>
      <c r="B21" s="462"/>
      <c r="C21" s="462"/>
      <c r="D21" s="462"/>
      <c r="E21" s="462"/>
      <c r="F21" s="462"/>
      <c r="G21" s="462"/>
      <c r="H21" s="462"/>
      <c r="I21" s="462"/>
      <c r="J21" s="462"/>
    </row>
    <row r="22" spans="1:10" ht="15">
      <c r="A22" s="462"/>
      <c r="B22" s="462"/>
      <c r="C22" s="462"/>
      <c r="D22" s="462"/>
      <c r="E22" s="462"/>
      <c r="F22" s="462"/>
      <c r="G22" s="462"/>
      <c r="H22" s="462"/>
      <c r="I22" s="462"/>
      <c r="J22" s="462"/>
    </row>
    <row r="23" spans="1:10" ht="15">
      <c r="A23" s="462"/>
      <c r="B23" s="462"/>
      <c r="C23" s="462"/>
      <c r="D23" s="462"/>
      <c r="E23" s="462"/>
      <c r="F23" s="462"/>
      <c r="G23" s="462"/>
      <c r="H23" s="462"/>
      <c r="I23" s="462"/>
      <c r="J23" s="462"/>
    </row>
    <row r="24" spans="1:10" ht="15">
      <c r="A24" s="462"/>
      <c r="B24" s="462"/>
      <c r="C24" s="462"/>
      <c r="D24" s="462"/>
      <c r="E24" s="462"/>
      <c r="F24" s="462"/>
      <c r="G24" s="462"/>
      <c r="H24" s="462"/>
      <c r="I24" s="462"/>
      <c r="J24" s="462"/>
    </row>
    <row r="25" spans="1:10" ht="15">
      <c r="A25" s="462"/>
      <c r="B25" s="462"/>
      <c r="C25" s="462"/>
      <c r="D25" s="462"/>
      <c r="E25" s="462"/>
      <c r="F25" s="462"/>
      <c r="G25" s="462"/>
      <c r="H25" s="462"/>
      <c r="I25" s="462"/>
      <c r="J25" s="462"/>
    </row>
    <row r="26" spans="1:10" ht="15">
      <c r="A26" s="462"/>
      <c r="B26" s="462"/>
      <c r="C26" s="462"/>
      <c r="D26" s="462"/>
      <c r="E26" s="462"/>
      <c r="F26" s="462"/>
      <c r="G26" s="462"/>
      <c r="H26" s="462"/>
      <c r="I26" s="462"/>
      <c r="J26" s="462"/>
    </row>
    <row r="27" spans="1:10" ht="15">
      <c r="A27" s="462"/>
      <c r="B27" s="462"/>
      <c r="C27" s="462"/>
      <c r="D27" s="462"/>
      <c r="E27" s="462"/>
      <c r="F27" s="462"/>
      <c r="G27" s="462"/>
      <c r="H27" s="462"/>
      <c r="I27" s="462"/>
      <c r="J27" s="462"/>
    </row>
    <row r="28" spans="1:10" ht="15">
      <c r="A28" s="462"/>
      <c r="B28" s="462"/>
      <c r="C28" s="462"/>
      <c r="D28" s="462"/>
      <c r="E28" s="462"/>
      <c r="F28" s="462"/>
      <c r="G28" s="462"/>
      <c r="H28" s="462"/>
      <c r="I28" s="462"/>
      <c r="J28" s="462"/>
    </row>
    <row r="29" spans="1:10" ht="15">
      <c r="A29" s="462"/>
      <c r="B29" s="462"/>
      <c r="C29" s="462"/>
      <c r="D29" s="462"/>
      <c r="E29" s="462"/>
      <c r="F29" s="462"/>
      <c r="G29" s="462"/>
      <c r="H29" s="462"/>
      <c r="I29" s="462"/>
      <c r="J29" s="462"/>
    </row>
    <row r="30" spans="1:10" ht="15">
      <c r="A30" s="462"/>
      <c r="B30" s="462"/>
      <c r="C30" s="462"/>
      <c r="D30" s="462"/>
      <c r="E30" s="462"/>
      <c r="F30" s="462"/>
      <c r="G30" s="462"/>
      <c r="H30" s="462"/>
      <c r="I30" s="462"/>
      <c r="J30" s="462"/>
    </row>
    <row r="31" spans="1:10" ht="15">
      <c r="A31" s="462"/>
      <c r="B31" s="462"/>
      <c r="C31" s="462"/>
      <c r="D31" s="462"/>
      <c r="E31" s="462"/>
      <c r="F31" s="462"/>
      <c r="G31" s="462"/>
      <c r="H31" s="462"/>
      <c r="I31" s="462"/>
      <c r="J31" s="462"/>
    </row>
    <row r="32" spans="1:10" ht="15">
      <c r="A32" s="462"/>
      <c r="B32" s="462"/>
      <c r="C32" s="462"/>
      <c r="D32" s="462"/>
      <c r="E32" s="462"/>
      <c r="F32" s="462"/>
      <c r="G32" s="462"/>
      <c r="H32" s="462"/>
      <c r="I32" s="462"/>
      <c r="J32" s="462"/>
    </row>
    <row r="33" spans="1:10" ht="15">
      <c r="A33" s="462"/>
      <c r="B33" s="462"/>
      <c r="C33" s="462"/>
      <c r="D33" s="462"/>
      <c r="E33" s="462"/>
      <c r="F33" s="462"/>
      <c r="G33" s="462"/>
      <c r="H33" s="462"/>
      <c r="I33" s="462"/>
      <c r="J33" s="462"/>
    </row>
    <row r="34" spans="1:10" ht="15">
      <c r="A34" s="462"/>
      <c r="B34" s="462"/>
      <c r="C34" s="462"/>
      <c r="D34" s="462"/>
      <c r="E34" s="462"/>
      <c r="F34" s="462"/>
      <c r="G34" s="462"/>
      <c r="H34" s="462"/>
      <c r="I34" s="462"/>
      <c r="J34" s="462"/>
    </row>
    <row r="35" spans="1:10" ht="15">
      <c r="A35" s="462"/>
      <c r="B35" s="462"/>
      <c r="C35" s="462"/>
      <c r="D35" s="462"/>
      <c r="E35" s="462"/>
      <c r="F35" s="462"/>
      <c r="G35" s="462"/>
      <c r="H35" s="462"/>
      <c r="I35" s="462"/>
      <c r="J35" s="462"/>
    </row>
    <row r="36" spans="1:10" ht="15">
      <c r="A36" s="462"/>
      <c r="B36" s="462"/>
      <c r="C36" s="462"/>
      <c r="D36" s="462"/>
      <c r="E36" s="462"/>
      <c r="F36" s="462"/>
      <c r="G36" s="462"/>
      <c r="H36" s="462"/>
      <c r="I36" s="462"/>
      <c r="J36" s="462"/>
    </row>
    <row r="37" spans="1:10" ht="15">
      <c r="A37" s="462"/>
      <c r="B37" s="462"/>
      <c r="C37" s="462"/>
      <c r="D37" s="462"/>
      <c r="E37" s="462"/>
      <c r="F37" s="462"/>
      <c r="G37" s="462"/>
      <c r="H37" s="462"/>
      <c r="I37" s="462"/>
      <c r="J37" s="462"/>
    </row>
    <row r="38" spans="1:10" ht="15">
      <c r="A38" s="462"/>
      <c r="B38" s="462"/>
      <c r="C38" s="462"/>
      <c r="D38" s="462"/>
      <c r="E38" s="462"/>
      <c r="F38" s="462"/>
      <c r="G38" s="462"/>
      <c r="H38" s="462"/>
      <c r="I38" s="462"/>
      <c r="J38" s="462"/>
    </row>
    <row r="39" spans="1:10" ht="15">
      <c r="A39" s="462"/>
      <c r="B39" s="462"/>
      <c r="C39" s="462"/>
      <c r="D39" s="462"/>
      <c r="E39" s="462"/>
      <c r="F39" s="462"/>
      <c r="G39" s="462"/>
      <c r="H39" s="462"/>
      <c r="I39" s="462"/>
      <c r="J39" s="462"/>
    </row>
    <row r="40" spans="1:10" ht="15">
      <c r="A40" s="462"/>
      <c r="B40" s="462"/>
      <c r="C40" s="462"/>
      <c r="D40" s="462"/>
      <c r="E40" s="462"/>
      <c r="F40" s="462"/>
      <c r="G40" s="462"/>
      <c r="H40" s="462"/>
      <c r="I40" s="462"/>
      <c r="J40" s="462"/>
    </row>
    <row r="41" spans="1:10" ht="15">
      <c r="A41" s="462"/>
      <c r="B41" s="462"/>
      <c r="C41" s="462"/>
      <c r="D41" s="462"/>
      <c r="E41" s="462"/>
      <c r="F41" s="462"/>
      <c r="G41" s="462"/>
      <c r="H41" s="462"/>
      <c r="I41" s="462"/>
      <c r="J41" s="462"/>
    </row>
    <row r="42" spans="1:10" ht="15">
      <c r="A42" s="462"/>
      <c r="B42" s="462"/>
      <c r="C42" s="462"/>
      <c r="D42" s="462"/>
      <c r="E42" s="462"/>
      <c r="F42" s="462"/>
      <c r="G42" s="462"/>
      <c r="H42" s="462"/>
      <c r="I42" s="462"/>
      <c r="J42" s="462"/>
    </row>
    <row r="43" spans="1:10" ht="15">
      <c r="A43" s="462"/>
      <c r="B43" s="462"/>
      <c r="C43" s="462"/>
      <c r="D43" s="462"/>
      <c r="E43" s="462"/>
      <c r="F43" s="462"/>
      <c r="G43" s="462"/>
      <c r="H43" s="462"/>
      <c r="I43" s="462"/>
      <c r="J43" s="462"/>
    </row>
    <row r="44" spans="1:10" ht="15">
      <c r="A44" s="462"/>
      <c r="B44" s="462"/>
      <c r="C44" s="462"/>
      <c r="D44" s="462"/>
      <c r="E44" s="462"/>
      <c r="F44" s="462"/>
      <c r="G44" s="462"/>
      <c r="H44" s="462"/>
      <c r="I44" s="462"/>
      <c r="J44" s="462"/>
    </row>
    <row r="45" spans="1:10" ht="15">
      <c r="A45" s="462"/>
      <c r="B45" s="462"/>
      <c r="C45" s="462"/>
      <c r="D45" s="462"/>
      <c r="E45" s="462"/>
      <c r="F45" s="462"/>
      <c r="G45" s="462"/>
      <c r="H45" s="462"/>
      <c r="I45" s="462"/>
      <c r="J45" s="462"/>
    </row>
    <row r="46" spans="1:10" ht="15">
      <c r="A46" s="462"/>
      <c r="B46" s="462"/>
      <c r="C46" s="462"/>
      <c r="D46" s="462"/>
      <c r="E46" s="462"/>
      <c r="F46" s="462"/>
      <c r="G46" s="462"/>
      <c r="H46" s="462"/>
      <c r="I46" s="462"/>
      <c r="J46" s="462"/>
    </row>
    <row r="47" spans="1:10" ht="15">
      <c r="A47" s="462"/>
      <c r="B47" s="462"/>
      <c r="C47" s="462"/>
      <c r="D47" s="462"/>
      <c r="E47" s="462"/>
      <c r="F47" s="462"/>
      <c r="G47" s="462"/>
      <c r="H47" s="462"/>
      <c r="I47" s="462"/>
      <c r="J47" s="462"/>
    </row>
    <row r="48" spans="1:10" ht="15">
      <c r="A48" s="462"/>
      <c r="B48" s="462"/>
      <c r="C48" s="462"/>
      <c r="D48" s="462"/>
      <c r="E48" s="462"/>
      <c r="F48" s="462"/>
      <c r="G48" s="462"/>
      <c r="H48" s="462"/>
      <c r="I48" s="462"/>
      <c r="J48" s="462"/>
    </row>
    <row r="49" spans="1:10" ht="15">
      <c r="A49" s="462"/>
      <c r="B49" s="462"/>
      <c r="C49" s="462"/>
      <c r="D49" s="462"/>
      <c r="E49" s="462"/>
      <c r="F49" s="462"/>
      <c r="G49" s="462"/>
      <c r="H49" s="462"/>
      <c r="I49" s="462"/>
      <c r="J49" s="462"/>
    </row>
    <row r="50" spans="1:10" ht="15">
      <c r="A50" s="462"/>
      <c r="B50" s="462"/>
      <c r="C50" s="462"/>
      <c r="D50" s="462"/>
      <c r="E50" s="462"/>
      <c r="F50" s="462"/>
      <c r="G50" s="462"/>
      <c r="H50" s="462"/>
      <c r="I50" s="462"/>
      <c r="J50" s="462"/>
    </row>
    <row r="51" spans="1:10" ht="15">
      <c r="A51" s="462"/>
      <c r="B51" s="462"/>
      <c r="C51" s="462"/>
      <c r="D51" s="462"/>
      <c r="E51" s="462"/>
      <c r="F51" s="462"/>
      <c r="G51" s="462"/>
      <c r="H51" s="462"/>
      <c r="I51" s="462"/>
      <c r="J51" s="462"/>
    </row>
    <row r="52" spans="1:10" ht="15">
      <c r="A52" s="462"/>
      <c r="B52" s="462"/>
      <c r="C52" s="462"/>
      <c r="D52" s="462"/>
      <c r="E52" s="462"/>
      <c r="F52" s="462"/>
      <c r="G52" s="462"/>
      <c r="H52" s="462"/>
      <c r="I52" s="462"/>
      <c r="J52" s="462"/>
    </row>
    <row r="53" spans="1:10" ht="15">
      <c r="A53" s="462"/>
      <c r="B53" s="462"/>
      <c r="C53" s="462"/>
      <c r="D53" s="462"/>
      <c r="E53" s="462"/>
      <c r="F53" s="462"/>
      <c r="G53" s="462"/>
      <c r="H53" s="462"/>
      <c r="I53" s="462"/>
      <c r="J53" s="462"/>
    </row>
    <row r="54" spans="1:10" ht="15">
      <c r="A54" s="462"/>
      <c r="B54" s="462"/>
      <c r="C54" s="462"/>
      <c r="D54" s="462"/>
      <c r="E54" s="462"/>
      <c r="F54" s="462"/>
      <c r="G54" s="462"/>
      <c r="H54" s="462"/>
      <c r="I54" s="462"/>
      <c r="J54" s="462"/>
    </row>
    <row r="55" spans="1:10" ht="15">
      <c r="A55" s="462"/>
      <c r="B55" s="462"/>
      <c r="C55" s="462"/>
      <c r="D55" s="462"/>
      <c r="E55" s="462"/>
      <c r="F55" s="462"/>
      <c r="G55" s="462"/>
      <c r="H55" s="462"/>
      <c r="I55" s="462"/>
      <c r="J55" s="462"/>
    </row>
    <row r="56" spans="1:10" ht="15">
      <c r="A56" s="462"/>
      <c r="B56" s="462"/>
      <c r="C56" s="462"/>
      <c r="D56" s="462"/>
      <c r="E56" s="462"/>
      <c r="F56" s="462"/>
      <c r="G56" s="462"/>
      <c r="H56" s="462"/>
      <c r="I56" s="462"/>
      <c r="J56" s="462"/>
    </row>
    <row r="57" spans="1:10" ht="15">
      <c r="A57" s="462"/>
      <c r="B57" s="462"/>
      <c r="C57" s="462"/>
      <c r="D57" s="462"/>
      <c r="E57" s="462"/>
      <c r="F57" s="462"/>
      <c r="G57" s="462"/>
      <c r="H57" s="462"/>
      <c r="I57" s="462"/>
      <c r="J57" s="462"/>
    </row>
    <row r="58" spans="1:10" ht="15">
      <c r="A58" s="462"/>
      <c r="B58" s="462"/>
      <c r="C58" s="462"/>
      <c r="D58" s="462"/>
      <c r="E58" s="462"/>
      <c r="F58" s="462"/>
      <c r="G58" s="462"/>
      <c r="H58" s="462"/>
      <c r="I58" s="462"/>
      <c r="J58" s="462"/>
    </row>
    <row r="59" spans="1:10" ht="15">
      <c r="A59" s="462"/>
      <c r="B59" s="462"/>
      <c r="C59" s="462"/>
      <c r="D59" s="462"/>
      <c r="E59" s="462"/>
      <c r="F59" s="462"/>
      <c r="G59" s="462"/>
      <c r="H59" s="462"/>
      <c r="I59" s="462"/>
      <c r="J59" s="462"/>
    </row>
    <row r="60" spans="1:10" ht="15">
      <c r="A60" s="462"/>
      <c r="B60" s="462"/>
      <c r="C60" s="462"/>
      <c r="D60" s="462"/>
      <c r="E60" s="462"/>
      <c r="F60" s="462"/>
      <c r="G60" s="462"/>
      <c r="H60" s="462"/>
      <c r="I60" s="462"/>
      <c r="J60" s="462"/>
    </row>
    <row r="61" spans="1:10" ht="15">
      <c r="A61" s="462"/>
      <c r="B61" s="462"/>
      <c r="C61" s="462"/>
      <c r="D61" s="462"/>
      <c r="E61" s="462"/>
      <c r="F61" s="462"/>
      <c r="G61" s="462"/>
      <c r="H61" s="462"/>
      <c r="I61" s="462"/>
      <c r="J61" s="462"/>
    </row>
    <row r="62" spans="1:10" ht="15">
      <c r="A62" s="462"/>
      <c r="B62" s="462"/>
      <c r="C62" s="462"/>
      <c r="D62" s="462"/>
      <c r="E62" s="462"/>
      <c r="F62" s="462"/>
      <c r="G62" s="462"/>
      <c r="H62" s="462"/>
      <c r="I62" s="462"/>
      <c r="J62" s="462"/>
    </row>
    <row r="63" spans="1:10" ht="15">
      <c r="A63" s="462"/>
      <c r="B63" s="462"/>
      <c r="C63" s="462"/>
      <c r="D63" s="462"/>
      <c r="E63" s="462"/>
      <c r="F63" s="462"/>
      <c r="G63" s="462"/>
      <c r="H63" s="462"/>
      <c r="I63" s="462"/>
      <c r="J63" s="462"/>
    </row>
    <row r="64" spans="1:10" ht="15">
      <c r="A64" s="462"/>
      <c r="B64" s="462"/>
      <c r="C64" s="462"/>
      <c r="D64" s="462"/>
      <c r="E64" s="462"/>
      <c r="F64" s="462"/>
      <c r="G64" s="462"/>
      <c r="H64" s="462"/>
      <c r="I64" s="462"/>
      <c r="J64" s="462"/>
    </row>
    <row r="65" spans="1:10" ht="15">
      <c r="A65" s="462"/>
      <c r="B65" s="462"/>
      <c r="C65" s="462"/>
      <c r="D65" s="462"/>
      <c r="E65" s="462"/>
      <c r="F65" s="462"/>
      <c r="G65" s="462"/>
      <c r="H65" s="462"/>
      <c r="I65" s="462"/>
      <c r="J65" s="462"/>
    </row>
    <row r="66" spans="1:10" ht="15">
      <c r="A66" s="462"/>
      <c r="B66" s="462"/>
      <c r="C66" s="462"/>
      <c r="D66" s="462"/>
      <c r="E66" s="462"/>
      <c r="F66" s="462"/>
      <c r="G66" s="462"/>
      <c r="H66" s="462"/>
      <c r="I66" s="462"/>
      <c r="J66" s="462"/>
    </row>
    <row r="67" spans="1:10" ht="15">
      <c r="A67" s="462"/>
      <c r="B67" s="462"/>
      <c r="C67" s="462"/>
      <c r="D67" s="462"/>
      <c r="E67" s="462"/>
      <c r="F67" s="462"/>
      <c r="G67" s="462"/>
      <c r="H67" s="462"/>
      <c r="I67" s="462"/>
      <c r="J67" s="462"/>
    </row>
    <row r="68" spans="1:10" ht="15">
      <c r="A68" s="462"/>
      <c r="B68" s="462"/>
      <c r="C68" s="462"/>
      <c r="D68" s="462"/>
      <c r="E68" s="462"/>
      <c r="F68" s="462"/>
      <c r="G68" s="462"/>
      <c r="H68" s="462"/>
      <c r="I68" s="462"/>
      <c r="J68" s="462"/>
    </row>
    <row r="69" spans="1:10" ht="15">
      <c r="A69" s="462"/>
      <c r="B69" s="462"/>
      <c r="C69" s="462"/>
      <c r="D69" s="462"/>
      <c r="E69" s="462"/>
      <c r="F69" s="462"/>
      <c r="G69" s="462"/>
      <c r="H69" s="462"/>
      <c r="I69" s="462"/>
      <c r="J69" s="462"/>
    </row>
    <row r="70" spans="1:10" ht="15">
      <c r="A70" s="462"/>
      <c r="B70" s="462"/>
      <c r="C70" s="462"/>
      <c r="D70" s="462"/>
      <c r="E70" s="462"/>
      <c r="F70" s="462"/>
      <c r="G70" s="462"/>
      <c r="H70" s="462"/>
      <c r="I70" s="462"/>
      <c r="J70" s="462"/>
    </row>
    <row r="71" spans="1:10" ht="15">
      <c r="A71" s="462"/>
      <c r="B71" s="462"/>
      <c r="C71" s="462"/>
      <c r="D71" s="462"/>
      <c r="E71" s="462"/>
      <c r="F71" s="462"/>
      <c r="G71" s="462"/>
      <c r="H71" s="462"/>
      <c r="I71" s="462"/>
      <c r="J71" s="462"/>
    </row>
    <row r="72" spans="1:10" ht="15">
      <c r="A72" s="462"/>
      <c r="B72" s="462"/>
      <c r="C72" s="462"/>
      <c r="D72" s="462"/>
      <c r="E72" s="462"/>
      <c r="F72" s="462"/>
      <c r="G72" s="462"/>
      <c r="H72" s="462"/>
      <c r="I72" s="462"/>
      <c r="J72" s="462"/>
    </row>
    <row r="73" spans="1:10" ht="15">
      <c r="A73" s="462"/>
      <c r="B73" s="462"/>
      <c r="C73" s="462"/>
      <c r="D73" s="462"/>
      <c r="E73" s="462"/>
      <c r="F73" s="462"/>
      <c r="G73" s="462"/>
      <c r="H73" s="462"/>
      <c r="I73" s="462"/>
      <c r="J73" s="462"/>
    </row>
    <row r="74" spans="1:10" ht="15">
      <c r="A74" s="462"/>
      <c r="B74" s="462"/>
      <c r="C74" s="462"/>
      <c r="D74" s="462"/>
      <c r="E74" s="462"/>
      <c r="F74" s="462"/>
      <c r="G74" s="462"/>
      <c r="H74" s="462"/>
      <c r="I74" s="462"/>
      <c r="J74" s="462"/>
    </row>
    <row r="75" spans="1:10" ht="15">
      <c r="A75" s="462"/>
      <c r="B75" s="462"/>
      <c r="C75" s="462"/>
      <c r="D75" s="462"/>
      <c r="E75" s="462"/>
      <c r="F75" s="462"/>
      <c r="G75" s="462"/>
      <c r="H75" s="462"/>
      <c r="I75" s="462"/>
      <c r="J75" s="462"/>
    </row>
    <row r="76" spans="1:10" ht="15">
      <c r="A76" s="462"/>
      <c r="B76" s="462"/>
      <c r="C76" s="462"/>
      <c r="D76" s="462"/>
      <c r="E76" s="462"/>
      <c r="F76" s="462"/>
      <c r="G76" s="462"/>
      <c r="H76" s="462"/>
      <c r="I76" s="462"/>
      <c r="J76" s="462"/>
    </row>
    <row r="77" spans="1:10" ht="15">
      <c r="A77" s="462"/>
      <c r="B77" s="462"/>
      <c r="C77" s="462"/>
      <c r="D77" s="462"/>
      <c r="E77" s="462"/>
      <c r="F77" s="462"/>
      <c r="G77" s="462"/>
      <c r="H77" s="462"/>
      <c r="I77" s="462"/>
      <c r="J77" s="462"/>
    </row>
    <row r="78" spans="1:10" ht="15">
      <c r="A78" s="462"/>
      <c r="B78" s="462"/>
      <c r="C78" s="462"/>
      <c r="D78" s="462"/>
      <c r="E78" s="462"/>
      <c r="F78" s="462"/>
      <c r="G78" s="462"/>
      <c r="H78" s="462"/>
      <c r="I78" s="462"/>
      <c r="J78" s="462"/>
    </row>
    <row r="79" spans="1:10" ht="15">
      <c r="A79" s="462"/>
      <c r="B79" s="462"/>
      <c r="C79" s="462"/>
      <c r="D79" s="462"/>
      <c r="E79" s="462"/>
      <c r="F79" s="462"/>
      <c r="G79" s="462"/>
      <c r="H79" s="462"/>
      <c r="I79" s="462"/>
      <c r="J79" s="462"/>
    </row>
    <row r="80" spans="1:10" ht="15">
      <c r="A80" s="462"/>
      <c r="B80" s="462"/>
      <c r="C80" s="462"/>
      <c r="D80" s="462"/>
      <c r="E80" s="462"/>
      <c r="F80" s="462"/>
      <c r="G80" s="462"/>
      <c r="H80" s="462"/>
      <c r="I80" s="462"/>
      <c r="J80" s="462"/>
    </row>
    <row r="81" spans="1:10" ht="15">
      <c r="A81" s="462"/>
      <c r="B81" s="462"/>
      <c r="C81" s="462"/>
      <c r="D81" s="462"/>
      <c r="E81" s="462"/>
      <c r="F81" s="462"/>
      <c r="G81" s="462"/>
      <c r="H81" s="462"/>
      <c r="I81" s="462"/>
      <c r="J81" s="462"/>
    </row>
    <row r="82" spans="1:10" ht="15">
      <c r="A82" s="462"/>
      <c r="B82" s="462"/>
      <c r="C82" s="462"/>
      <c r="D82" s="462"/>
      <c r="E82" s="462"/>
      <c r="F82" s="462"/>
      <c r="G82" s="462"/>
      <c r="H82" s="462"/>
      <c r="I82" s="462"/>
      <c r="J82" s="462"/>
    </row>
    <row r="83" spans="1:10" ht="15">
      <c r="A83" s="462"/>
      <c r="B83" s="462"/>
      <c r="C83" s="462"/>
      <c r="D83" s="462"/>
      <c r="E83" s="462"/>
      <c r="F83" s="462"/>
      <c r="G83" s="462"/>
      <c r="H83" s="462"/>
      <c r="I83" s="462"/>
      <c r="J83" s="462"/>
    </row>
    <row r="84" spans="1:10" ht="15">
      <c r="A84" s="462"/>
      <c r="B84" s="462"/>
      <c r="C84" s="462"/>
      <c r="D84" s="462"/>
      <c r="E84" s="462"/>
      <c r="F84" s="462"/>
      <c r="G84" s="462"/>
      <c r="H84" s="462"/>
      <c r="I84" s="462"/>
      <c r="J84" s="462"/>
    </row>
    <row r="85" spans="1:10" ht="15">
      <c r="A85" s="462"/>
      <c r="B85" s="462"/>
      <c r="C85" s="462"/>
      <c r="D85" s="462"/>
      <c r="E85" s="462"/>
      <c r="F85" s="462"/>
      <c r="G85" s="462"/>
      <c r="H85" s="462"/>
      <c r="I85" s="462"/>
      <c r="J85" s="462"/>
    </row>
    <row r="86" spans="1:10" ht="15">
      <c r="A86" s="462"/>
      <c r="B86" s="462"/>
      <c r="C86" s="462"/>
      <c r="D86" s="462"/>
      <c r="E86" s="462"/>
      <c r="F86" s="462"/>
      <c r="G86" s="462"/>
      <c r="H86" s="462"/>
      <c r="I86" s="462"/>
      <c r="J86" s="462"/>
    </row>
    <row r="87" spans="1:10" ht="15">
      <c r="A87" s="462"/>
      <c r="B87" s="462"/>
      <c r="C87" s="462"/>
      <c r="D87" s="462"/>
      <c r="E87" s="462"/>
      <c r="F87" s="462"/>
      <c r="G87" s="462"/>
      <c r="H87" s="462"/>
      <c r="I87" s="462"/>
      <c r="J87" s="462"/>
    </row>
    <row r="88" spans="1:10" ht="15">
      <c r="A88" s="462"/>
      <c r="B88" s="462"/>
      <c r="C88" s="462"/>
      <c r="D88" s="462"/>
      <c r="E88" s="462"/>
      <c r="F88" s="462"/>
      <c r="G88" s="462"/>
      <c r="H88" s="462"/>
      <c r="I88" s="462"/>
      <c r="J88" s="462"/>
    </row>
    <row r="89" spans="1:10" ht="15">
      <c r="A89" s="462"/>
      <c r="B89" s="462"/>
      <c r="C89" s="462"/>
      <c r="D89" s="462"/>
      <c r="E89" s="462"/>
      <c r="F89" s="462"/>
      <c r="G89" s="462"/>
      <c r="H89" s="462"/>
      <c r="I89" s="462"/>
      <c r="J89" s="462"/>
    </row>
    <row r="90" spans="1:10" ht="15">
      <c r="A90" s="462"/>
      <c r="B90" s="462"/>
      <c r="C90" s="462"/>
      <c r="D90" s="462"/>
      <c r="E90" s="462"/>
      <c r="F90" s="462"/>
      <c r="G90" s="462"/>
      <c r="H90" s="462"/>
      <c r="I90" s="462"/>
      <c r="J90" s="462"/>
    </row>
    <row r="91" spans="1:10" ht="15">
      <c r="A91" s="462"/>
      <c r="B91" s="462"/>
      <c r="C91" s="462"/>
      <c r="D91" s="462"/>
      <c r="E91" s="462"/>
      <c r="F91" s="462"/>
      <c r="G91" s="462"/>
      <c r="H91" s="462"/>
      <c r="I91" s="462"/>
      <c r="J91" s="462"/>
    </row>
    <row r="92" spans="1:10" ht="15">
      <c r="A92" s="462"/>
      <c r="B92" s="462"/>
      <c r="C92" s="462"/>
      <c r="D92" s="462"/>
      <c r="E92" s="462"/>
      <c r="F92" s="462"/>
      <c r="G92" s="462"/>
      <c r="H92" s="462"/>
      <c r="I92" s="462"/>
      <c r="J92" s="462"/>
    </row>
    <row r="93" spans="1:10" ht="15">
      <c r="A93" s="462"/>
      <c r="B93" s="462"/>
      <c r="C93" s="462"/>
      <c r="D93" s="462"/>
      <c r="E93" s="462"/>
      <c r="F93" s="462"/>
      <c r="G93" s="462"/>
      <c r="H93" s="462"/>
      <c r="I93" s="462"/>
      <c r="J93" s="462"/>
    </row>
    <row r="94" spans="1:10" ht="15">
      <c r="A94" s="462"/>
      <c r="B94" s="462"/>
      <c r="C94" s="462"/>
      <c r="D94" s="462"/>
      <c r="E94" s="462"/>
      <c r="F94" s="462"/>
      <c r="G94" s="462"/>
      <c r="H94" s="462"/>
      <c r="I94" s="462"/>
      <c r="J94" s="462"/>
    </row>
    <row r="95" spans="1:10" ht="15">
      <c r="A95" s="462"/>
      <c r="B95" s="462"/>
      <c r="C95" s="462"/>
      <c r="D95" s="462"/>
      <c r="E95" s="462"/>
      <c r="F95" s="462"/>
      <c r="G95" s="462"/>
      <c r="H95" s="462"/>
      <c r="I95" s="462"/>
      <c r="J95" s="462"/>
    </row>
    <row r="96" spans="1:10" ht="15">
      <c r="A96" s="462"/>
      <c r="B96" s="462"/>
      <c r="C96" s="462"/>
      <c r="D96" s="462"/>
      <c r="E96" s="462"/>
      <c r="F96" s="462"/>
      <c r="G96" s="462"/>
      <c r="H96" s="462"/>
      <c r="I96" s="462"/>
      <c r="J96" s="462"/>
    </row>
    <row r="97" spans="1:10" ht="15">
      <c r="A97" s="462"/>
      <c r="B97" s="462"/>
      <c r="C97" s="462"/>
      <c r="D97" s="462"/>
      <c r="E97" s="462"/>
      <c r="F97" s="462"/>
      <c r="G97" s="462"/>
      <c r="H97" s="462"/>
      <c r="I97" s="462"/>
      <c r="J97" s="462"/>
    </row>
    <row r="98" spans="1:10" ht="15">
      <c r="A98" s="462"/>
      <c r="B98" s="462"/>
      <c r="C98" s="462"/>
      <c r="D98" s="462"/>
      <c r="E98" s="462"/>
      <c r="F98" s="462"/>
      <c r="G98" s="462"/>
      <c r="H98" s="462"/>
      <c r="I98" s="462"/>
      <c r="J98" s="462"/>
    </row>
    <row r="99" spans="1:10" ht="15">
      <c r="A99" s="462"/>
      <c r="B99" s="462"/>
      <c r="C99" s="462"/>
      <c r="D99" s="462"/>
      <c r="E99" s="462"/>
      <c r="F99" s="462"/>
      <c r="G99" s="462"/>
      <c r="H99" s="462"/>
      <c r="I99" s="462"/>
      <c r="J99" s="462"/>
    </row>
    <row r="100" spans="1:10" ht="15">
      <c r="A100" s="462"/>
      <c r="B100" s="462"/>
      <c r="C100" s="462"/>
      <c r="D100" s="462"/>
      <c r="E100" s="462"/>
      <c r="F100" s="462"/>
      <c r="G100" s="462"/>
      <c r="H100" s="462"/>
      <c r="I100" s="462"/>
      <c r="J100" s="462"/>
    </row>
    <row r="101" spans="1:10" ht="15">
      <c r="A101" s="462"/>
      <c r="B101" s="462"/>
      <c r="C101" s="462"/>
      <c r="D101" s="462"/>
      <c r="E101" s="462"/>
      <c r="F101" s="462"/>
      <c r="G101" s="462"/>
      <c r="H101" s="462"/>
      <c r="I101" s="462"/>
      <c r="J101" s="462"/>
    </row>
    <row r="102" spans="1:10" ht="15">
      <c r="A102" s="462"/>
      <c r="B102" s="462"/>
      <c r="C102" s="462"/>
      <c r="D102" s="462"/>
      <c r="E102" s="462"/>
      <c r="F102" s="462"/>
      <c r="G102" s="462"/>
      <c r="H102" s="462"/>
      <c r="I102" s="462"/>
      <c r="J102" s="462"/>
    </row>
    <row r="103" spans="1:10" ht="15">
      <c r="A103" s="462"/>
      <c r="B103" s="462"/>
      <c r="C103" s="462"/>
      <c r="D103" s="462"/>
      <c r="E103" s="462"/>
      <c r="F103" s="462"/>
      <c r="G103" s="462"/>
      <c r="H103" s="462"/>
      <c r="I103" s="462"/>
      <c r="J103" s="462"/>
    </row>
    <row r="104" spans="1:10" ht="15">
      <c r="A104" s="462"/>
      <c r="B104" s="462"/>
      <c r="C104" s="462"/>
      <c r="D104" s="462"/>
      <c r="E104" s="462"/>
      <c r="F104" s="462"/>
      <c r="G104" s="462"/>
      <c r="H104" s="462"/>
      <c r="I104" s="462"/>
      <c r="J104" s="462"/>
    </row>
    <row r="105" spans="1:10" ht="15">
      <c r="A105" s="462"/>
      <c r="B105" s="462"/>
      <c r="C105" s="462"/>
      <c r="D105" s="462"/>
      <c r="E105" s="462"/>
      <c r="F105" s="462"/>
      <c r="G105" s="462"/>
      <c r="H105" s="462"/>
      <c r="I105" s="462"/>
      <c r="J105" s="462"/>
    </row>
    <row r="106" spans="1:10" ht="15">
      <c r="A106" s="462"/>
      <c r="B106" s="462"/>
      <c r="C106" s="462"/>
      <c r="D106" s="462"/>
      <c r="E106" s="462"/>
      <c r="F106" s="462"/>
      <c r="G106" s="462"/>
      <c r="H106" s="462"/>
      <c r="I106" s="462"/>
      <c r="J106" s="462"/>
    </row>
    <row r="107" spans="1:10" ht="15">
      <c r="A107" s="462"/>
      <c r="B107" s="462"/>
      <c r="C107" s="462"/>
      <c r="D107" s="462"/>
      <c r="E107" s="462"/>
      <c r="F107" s="462"/>
      <c r="G107" s="462"/>
      <c r="H107" s="462"/>
      <c r="I107" s="462"/>
      <c r="J107" s="462"/>
    </row>
    <row r="108" spans="1:10" ht="15">
      <c r="A108" s="462"/>
      <c r="B108" s="462"/>
      <c r="C108" s="462"/>
      <c r="D108" s="462"/>
      <c r="E108" s="462"/>
      <c r="F108" s="462"/>
      <c r="G108" s="462"/>
      <c r="H108" s="462"/>
      <c r="I108" s="462"/>
      <c r="J108" s="462"/>
    </row>
    <row r="109" spans="1:10" ht="15">
      <c r="A109" s="462"/>
      <c r="B109" s="462"/>
      <c r="C109" s="462"/>
      <c r="D109" s="462"/>
      <c r="E109" s="462"/>
      <c r="F109" s="462"/>
      <c r="G109" s="462"/>
      <c r="H109" s="462"/>
      <c r="I109" s="462"/>
      <c r="J109" s="462"/>
    </row>
    <row r="110" spans="1:10" ht="15">
      <c r="A110" s="462"/>
      <c r="B110" s="462"/>
      <c r="C110" s="462"/>
      <c r="D110" s="462"/>
      <c r="E110" s="462"/>
      <c r="F110" s="462"/>
      <c r="G110" s="462"/>
      <c r="H110" s="462"/>
      <c r="I110" s="462"/>
      <c r="J110" s="462"/>
    </row>
    <row r="111" spans="1:10" ht="15">
      <c r="A111" s="462"/>
      <c r="B111" s="462"/>
      <c r="C111" s="462"/>
      <c r="D111" s="462"/>
      <c r="E111" s="462"/>
      <c r="F111" s="462"/>
      <c r="G111" s="462"/>
      <c r="H111" s="462"/>
      <c r="I111" s="462"/>
      <c r="J111" s="462"/>
    </row>
    <row r="112" spans="1:10" ht="15">
      <c r="A112" s="462"/>
      <c r="B112" s="462"/>
      <c r="C112" s="462"/>
      <c r="D112" s="462"/>
      <c r="E112" s="462"/>
      <c r="F112" s="462"/>
      <c r="G112" s="462"/>
      <c r="H112" s="462"/>
      <c r="I112" s="462"/>
      <c r="J112" s="462"/>
    </row>
    <row r="113" spans="1:10" ht="15">
      <c r="A113" s="462"/>
      <c r="B113" s="462"/>
      <c r="C113" s="462"/>
      <c r="D113" s="462"/>
      <c r="E113" s="462"/>
      <c r="F113" s="462"/>
      <c r="G113" s="462"/>
      <c r="H113" s="462"/>
      <c r="I113" s="462"/>
      <c r="J113" s="462"/>
    </row>
    <row r="114" spans="1:10" ht="15">
      <c r="A114" s="462"/>
      <c r="B114" s="462"/>
      <c r="C114" s="462"/>
      <c r="D114" s="462"/>
      <c r="E114" s="462"/>
      <c r="F114" s="462"/>
      <c r="G114" s="462"/>
      <c r="H114" s="462"/>
      <c r="I114" s="462"/>
      <c r="J114" s="462"/>
    </row>
    <row r="115" spans="1:10" ht="15">
      <c r="A115" s="462"/>
      <c r="B115" s="462"/>
      <c r="C115" s="462"/>
      <c r="D115" s="462"/>
      <c r="E115" s="462"/>
      <c r="F115" s="462"/>
      <c r="G115" s="462"/>
      <c r="H115" s="462"/>
      <c r="I115" s="462"/>
      <c r="J115" s="462"/>
    </row>
    <row r="116" spans="1:10" ht="15">
      <c r="A116" s="462"/>
      <c r="B116" s="462"/>
      <c r="C116" s="462"/>
      <c r="D116" s="462"/>
      <c r="E116" s="462"/>
      <c r="F116" s="462"/>
      <c r="G116" s="462"/>
      <c r="H116" s="462"/>
      <c r="I116" s="462"/>
      <c r="J116" s="462"/>
    </row>
    <row r="117" spans="1:10" ht="15">
      <c r="A117" s="462"/>
      <c r="B117" s="462"/>
      <c r="C117" s="462"/>
      <c r="D117" s="462"/>
      <c r="E117" s="462"/>
      <c r="F117" s="462"/>
      <c r="G117" s="462"/>
      <c r="H117" s="462"/>
      <c r="I117" s="462"/>
      <c r="J117" s="462"/>
    </row>
    <row r="118" spans="1:10" ht="15">
      <c r="A118" s="462"/>
      <c r="B118" s="462"/>
      <c r="C118" s="462"/>
      <c r="D118" s="462"/>
      <c r="E118" s="462"/>
      <c r="F118" s="462"/>
      <c r="G118" s="462"/>
      <c r="H118" s="462"/>
      <c r="I118" s="462"/>
      <c r="J118" s="462"/>
    </row>
    <row r="119" spans="1:10" ht="15">
      <c r="A119" s="462"/>
      <c r="B119" s="462"/>
      <c r="C119" s="462"/>
      <c r="D119" s="462"/>
      <c r="E119" s="462"/>
      <c r="F119" s="462"/>
      <c r="G119" s="462"/>
      <c r="H119" s="462"/>
      <c r="I119" s="462"/>
      <c r="J119" s="462"/>
    </row>
    <row r="120" spans="1:10" ht="15">
      <c r="A120" s="462"/>
      <c r="B120" s="462"/>
      <c r="C120" s="462"/>
      <c r="D120" s="462"/>
      <c r="E120" s="462"/>
      <c r="F120" s="462"/>
      <c r="G120" s="462"/>
      <c r="H120" s="462"/>
      <c r="I120" s="462"/>
      <c r="J120" s="462"/>
    </row>
    <row r="121" spans="1:10" ht="15">
      <c r="A121" s="462"/>
      <c r="B121" s="462"/>
      <c r="C121" s="462"/>
      <c r="D121" s="462"/>
      <c r="E121" s="462"/>
      <c r="F121" s="462"/>
      <c r="G121" s="462"/>
      <c r="H121" s="462"/>
      <c r="I121" s="462"/>
      <c r="J121" s="462"/>
    </row>
    <row r="122" spans="1:10" ht="15">
      <c r="A122" s="462"/>
      <c r="B122" s="462"/>
      <c r="C122" s="462"/>
      <c r="D122" s="462"/>
      <c r="E122" s="462"/>
      <c r="F122" s="462"/>
      <c r="G122" s="462"/>
      <c r="H122" s="462"/>
      <c r="I122" s="462"/>
      <c r="J122" s="462"/>
    </row>
    <row r="123" spans="1:10" ht="15">
      <c r="A123" s="462"/>
      <c r="B123" s="462"/>
      <c r="C123" s="462"/>
      <c r="D123" s="462"/>
      <c r="E123" s="462"/>
      <c r="F123" s="462"/>
      <c r="G123" s="462"/>
      <c r="H123" s="462"/>
      <c r="I123" s="462"/>
      <c r="J123" s="462"/>
    </row>
    <row r="124" spans="1:10" ht="15">
      <c r="A124" s="462"/>
      <c r="B124" s="462"/>
      <c r="C124" s="462"/>
      <c r="D124" s="462"/>
      <c r="E124" s="462"/>
      <c r="F124" s="462"/>
      <c r="G124" s="462"/>
      <c r="H124" s="462"/>
      <c r="I124" s="462"/>
      <c r="J124" s="462"/>
    </row>
    <row r="125" spans="1:10" ht="15">
      <c r="A125" s="462"/>
      <c r="B125" s="462"/>
      <c r="C125" s="462"/>
      <c r="D125" s="462"/>
      <c r="E125" s="462"/>
      <c r="F125" s="462"/>
      <c r="G125" s="462"/>
      <c r="H125" s="462"/>
      <c r="I125" s="462"/>
      <c r="J125" s="462"/>
    </row>
    <row r="126" spans="1:10" ht="15">
      <c r="A126" s="462"/>
      <c r="B126" s="462"/>
      <c r="C126" s="462"/>
      <c r="D126" s="462"/>
      <c r="E126" s="462"/>
      <c r="F126" s="462"/>
      <c r="G126" s="462"/>
      <c r="H126" s="462"/>
      <c r="I126" s="462"/>
      <c r="J126" s="462"/>
    </row>
    <row r="127" spans="1:10" ht="15">
      <c r="A127" s="462"/>
      <c r="B127" s="462"/>
      <c r="C127" s="462"/>
      <c r="D127" s="462"/>
      <c r="E127" s="462"/>
      <c r="F127" s="462"/>
      <c r="G127" s="462"/>
      <c r="H127" s="462"/>
      <c r="I127" s="462"/>
      <c r="J127" s="462"/>
    </row>
    <row r="128" spans="1:10" ht="15">
      <c r="A128" s="462"/>
      <c r="B128" s="462"/>
      <c r="C128" s="462"/>
      <c r="D128" s="462"/>
      <c r="E128" s="462"/>
      <c r="F128" s="462"/>
      <c r="G128" s="462"/>
      <c r="H128" s="462"/>
      <c r="I128" s="462"/>
      <c r="J128" s="462"/>
    </row>
    <row r="129" spans="1:10" ht="15">
      <c r="A129" s="462"/>
      <c r="B129" s="462"/>
      <c r="C129" s="462"/>
      <c r="D129" s="462"/>
      <c r="E129" s="462"/>
      <c r="F129" s="462"/>
      <c r="G129" s="462"/>
      <c r="H129" s="462"/>
      <c r="I129" s="462"/>
      <c r="J129" s="462"/>
    </row>
    <row r="130" spans="1:10" ht="15">
      <c r="A130" s="462"/>
      <c r="B130" s="462"/>
      <c r="C130" s="462"/>
      <c r="D130" s="462"/>
      <c r="E130" s="462"/>
      <c r="F130" s="462"/>
      <c r="G130" s="462"/>
      <c r="H130" s="462"/>
      <c r="I130" s="462"/>
      <c r="J130" s="462"/>
    </row>
    <row r="131" spans="1:10" ht="15">
      <c r="A131" s="462"/>
      <c r="B131" s="462"/>
      <c r="C131" s="462"/>
      <c r="D131" s="462"/>
      <c r="E131" s="462"/>
      <c r="F131" s="462"/>
      <c r="G131" s="462"/>
      <c r="H131" s="462"/>
      <c r="I131" s="462"/>
      <c r="J131" s="462"/>
    </row>
    <row r="132" spans="1:10" ht="15">
      <c r="A132" s="462"/>
      <c r="B132" s="462"/>
      <c r="C132" s="462"/>
      <c r="D132" s="462"/>
      <c r="E132" s="462"/>
      <c r="F132" s="462"/>
      <c r="G132" s="462"/>
      <c r="H132" s="462"/>
      <c r="I132" s="462"/>
      <c r="J132" s="462"/>
    </row>
    <row r="133" spans="1:10" ht="15">
      <c r="A133" s="462"/>
      <c r="B133" s="462"/>
      <c r="C133" s="462"/>
      <c r="D133" s="462"/>
      <c r="E133" s="462"/>
      <c r="F133" s="462"/>
      <c r="G133" s="462"/>
      <c r="H133" s="462"/>
      <c r="I133" s="462"/>
      <c r="J133" s="462"/>
    </row>
    <row r="134" spans="1:10" ht="15">
      <c r="A134" s="462"/>
      <c r="B134" s="462"/>
      <c r="C134" s="462"/>
      <c r="D134" s="462"/>
      <c r="E134" s="462"/>
      <c r="F134" s="462"/>
      <c r="G134" s="462"/>
      <c r="H134" s="462"/>
      <c r="I134" s="462"/>
      <c r="J134" s="462"/>
    </row>
    <row r="135" spans="1:10" ht="15">
      <c r="A135" s="462"/>
      <c r="B135" s="462"/>
      <c r="C135" s="462"/>
      <c r="D135" s="462"/>
      <c r="E135" s="462"/>
      <c r="F135" s="462"/>
      <c r="G135" s="462"/>
      <c r="H135" s="462"/>
      <c r="I135" s="462"/>
      <c r="J135" s="462"/>
    </row>
    <row r="136" spans="1:10" ht="15">
      <c r="A136" s="462"/>
      <c r="B136" s="462"/>
      <c r="C136" s="462"/>
      <c r="D136" s="462"/>
      <c r="E136" s="462"/>
      <c r="F136" s="462"/>
      <c r="G136" s="462"/>
      <c r="H136" s="462"/>
      <c r="I136" s="462"/>
      <c r="J136" s="462"/>
    </row>
    <row r="137" spans="1:10" ht="15">
      <c r="A137" s="462"/>
      <c r="B137" s="462"/>
      <c r="C137" s="462"/>
      <c r="D137" s="462"/>
      <c r="E137" s="462"/>
      <c r="F137" s="462"/>
      <c r="G137" s="462"/>
      <c r="H137" s="462"/>
      <c r="I137" s="462"/>
      <c r="J137" s="462"/>
    </row>
    <row r="138" spans="1:10" ht="15">
      <c r="A138" s="462"/>
      <c r="B138" s="462"/>
      <c r="C138" s="462"/>
      <c r="D138" s="462"/>
      <c r="E138" s="462"/>
      <c r="F138" s="462"/>
      <c r="G138" s="462"/>
      <c r="H138" s="462"/>
      <c r="I138" s="462"/>
      <c r="J138" s="462"/>
    </row>
    <row r="139" spans="1:10" ht="15">
      <c r="A139" s="462"/>
      <c r="B139" s="462"/>
      <c r="C139" s="462"/>
      <c r="D139" s="462"/>
      <c r="E139" s="462"/>
      <c r="F139" s="462"/>
      <c r="G139" s="462"/>
      <c r="H139" s="462"/>
      <c r="I139" s="462"/>
      <c r="J139" s="462"/>
    </row>
    <row r="140" spans="1:10" ht="15">
      <c r="A140" s="462"/>
      <c r="B140" s="462"/>
      <c r="C140" s="462"/>
      <c r="D140" s="462"/>
      <c r="E140" s="462"/>
      <c r="F140" s="462"/>
      <c r="G140" s="462"/>
      <c r="H140" s="462"/>
      <c r="I140" s="462"/>
      <c r="J140" s="462"/>
    </row>
    <row r="141" spans="1:10" ht="15">
      <c r="A141" s="462"/>
      <c r="B141" s="462"/>
      <c r="C141" s="462"/>
      <c r="D141" s="462"/>
      <c r="E141" s="462"/>
      <c r="F141" s="462"/>
      <c r="G141" s="462"/>
      <c r="H141" s="462"/>
      <c r="I141" s="462"/>
      <c r="J141" s="462"/>
    </row>
    <row r="142" spans="1:10" ht="15">
      <c r="A142" s="462"/>
      <c r="B142" s="462"/>
      <c r="C142" s="462"/>
      <c r="D142" s="462"/>
      <c r="E142" s="462"/>
      <c r="F142" s="462"/>
      <c r="G142" s="462"/>
      <c r="H142" s="462"/>
      <c r="I142" s="462"/>
      <c r="J142" s="462"/>
    </row>
    <row r="143" spans="1:10" ht="15">
      <c r="A143" s="462"/>
      <c r="B143" s="462"/>
      <c r="C143" s="462"/>
      <c r="D143" s="462"/>
      <c r="E143" s="462"/>
      <c r="F143" s="462"/>
      <c r="G143" s="462"/>
      <c r="H143" s="462"/>
      <c r="I143" s="462"/>
      <c r="J143" s="462"/>
    </row>
    <row r="144" spans="1:10" ht="15">
      <c r="A144" s="462"/>
      <c r="B144" s="462"/>
      <c r="C144" s="462"/>
      <c r="D144" s="462"/>
      <c r="E144" s="462"/>
      <c r="F144" s="462"/>
      <c r="G144" s="462"/>
      <c r="H144" s="462"/>
      <c r="I144" s="462"/>
      <c r="J144" s="462"/>
    </row>
    <row r="145" spans="1:10" ht="15">
      <c r="A145" s="462"/>
      <c r="B145" s="462"/>
      <c r="C145" s="462"/>
      <c r="D145" s="462"/>
      <c r="E145" s="462"/>
      <c r="F145" s="462"/>
      <c r="G145" s="462"/>
      <c r="H145" s="462"/>
      <c r="I145" s="462"/>
      <c r="J145" s="462"/>
    </row>
    <row r="146" spans="1:10" ht="15">
      <c r="A146" s="462"/>
      <c r="B146" s="462"/>
      <c r="C146" s="462"/>
      <c r="D146" s="462"/>
      <c r="E146" s="462"/>
      <c r="F146" s="462"/>
      <c r="G146" s="462"/>
      <c r="H146" s="462"/>
      <c r="I146" s="462"/>
      <c r="J146" s="462"/>
    </row>
    <row r="147" spans="1:10" ht="15">
      <c r="A147" s="462"/>
      <c r="B147" s="462"/>
      <c r="C147" s="462"/>
      <c r="D147" s="462"/>
      <c r="E147" s="462"/>
      <c r="F147" s="462"/>
      <c r="G147" s="462"/>
      <c r="H147" s="462"/>
      <c r="I147" s="462"/>
      <c r="J147" s="462"/>
    </row>
    <row r="148" spans="1:10" ht="15">
      <c r="A148" s="462"/>
      <c r="B148" s="462"/>
      <c r="C148" s="462"/>
      <c r="D148" s="462"/>
      <c r="E148" s="462"/>
      <c r="F148" s="462"/>
      <c r="G148" s="462"/>
      <c r="H148" s="462"/>
      <c r="I148" s="462"/>
      <c r="J148" s="462"/>
    </row>
    <row r="149" spans="1:10" ht="15">
      <c r="A149" s="462"/>
      <c r="B149" s="462"/>
      <c r="C149" s="462"/>
      <c r="D149" s="462"/>
      <c r="E149" s="462"/>
      <c r="F149" s="462"/>
      <c r="G149" s="462"/>
      <c r="H149" s="462"/>
      <c r="I149" s="462"/>
      <c r="J149" s="462"/>
    </row>
    <row r="150" spans="1:10" ht="15">
      <c r="A150" s="462"/>
      <c r="B150" s="462"/>
      <c r="C150" s="462"/>
      <c r="D150" s="462"/>
      <c r="E150" s="462"/>
      <c r="F150" s="462"/>
      <c r="G150" s="462"/>
      <c r="H150" s="462"/>
      <c r="I150" s="462"/>
      <c r="J150" s="462"/>
    </row>
    <row r="151" spans="1:10" ht="15">
      <c r="A151" s="462"/>
      <c r="B151" s="462"/>
      <c r="C151" s="462"/>
      <c r="D151" s="462"/>
      <c r="E151" s="462"/>
      <c r="F151" s="462"/>
      <c r="G151" s="462"/>
      <c r="H151" s="462"/>
      <c r="I151" s="462"/>
      <c r="J151" s="462"/>
    </row>
    <row r="152" spans="1:10" ht="15">
      <c r="A152" s="462"/>
      <c r="B152" s="462"/>
      <c r="C152" s="462"/>
      <c r="D152" s="462"/>
      <c r="E152" s="462"/>
      <c r="F152" s="462"/>
      <c r="G152" s="462"/>
      <c r="H152" s="462"/>
      <c r="I152" s="462"/>
      <c r="J152" s="462"/>
    </row>
    <row r="153" spans="1:10" ht="15">
      <c r="A153" s="462"/>
      <c r="B153" s="462"/>
      <c r="C153" s="462"/>
      <c r="D153" s="462"/>
      <c r="E153" s="462"/>
      <c r="F153" s="462"/>
      <c r="G153" s="462"/>
      <c r="H153" s="462"/>
      <c r="I153" s="462"/>
      <c r="J153" s="462"/>
    </row>
    <row r="154" spans="1:10" ht="15">
      <c r="A154" s="462"/>
      <c r="B154" s="462"/>
      <c r="C154" s="462"/>
      <c r="D154" s="462"/>
      <c r="E154" s="462"/>
      <c r="F154" s="462"/>
      <c r="G154" s="462"/>
      <c r="H154" s="462"/>
      <c r="I154" s="462"/>
      <c r="J154" s="462"/>
    </row>
    <row r="155" spans="1:10" ht="15">
      <c r="A155" s="462"/>
      <c r="B155" s="462"/>
      <c r="C155" s="462"/>
      <c r="D155" s="462"/>
      <c r="E155" s="462"/>
      <c r="F155" s="462"/>
      <c r="G155" s="462"/>
      <c r="H155" s="462"/>
      <c r="I155" s="462"/>
      <c r="J155" s="462"/>
    </row>
    <row r="156" spans="1:10" ht="15">
      <c r="A156" s="462"/>
      <c r="B156" s="462"/>
      <c r="C156" s="462"/>
      <c r="D156" s="462"/>
      <c r="E156" s="462"/>
      <c r="F156" s="462"/>
      <c r="G156" s="462"/>
      <c r="H156" s="462"/>
      <c r="I156" s="462"/>
      <c r="J156" s="462"/>
    </row>
    <row r="157" spans="1:10" ht="15">
      <c r="A157" s="462"/>
      <c r="B157" s="462"/>
      <c r="C157" s="462"/>
      <c r="D157" s="462"/>
      <c r="E157" s="462"/>
      <c r="F157" s="462"/>
      <c r="G157" s="462"/>
      <c r="H157" s="462"/>
      <c r="I157" s="462"/>
      <c r="J157" s="462"/>
    </row>
    <row r="158" spans="1:10" ht="15">
      <c r="A158" s="462"/>
      <c r="B158" s="462"/>
      <c r="C158" s="462"/>
      <c r="D158" s="462"/>
      <c r="E158" s="462"/>
      <c r="F158" s="462"/>
      <c r="G158" s="462"/>
      <c r="H158" s="462"/>
      <c r="I158" s="462"/>
      <c r="J158" s="462"/>
    </row>
    <row r="159" spans="1:10" ht="15">
      <c r="A159" s="462"/>
      <c r="B159" s="462"/>
      <c r="C159" s="462"/>
      <c r="D159" s="462"/>
      <c r="E159" s="462"/>
      <c r="F159" s="462"/>
      <c r="G159" s="462"/>
      <c r="H159" s="462"/>
      <c r="I159" s="462"/>
      <c r="J159" s="462"/>
    </row>
    <row r="160" spans="1:10" ht="15">
      <c r="A160" s="462"/>
      <c r="B160" s="462"/>
      <c r="C160" s="462"/>
      <c r="D160" s="462"/>
      <c r="E160" s="462"/>
      <c r="F160" s="462"/>
      <c r="G160" s="462"/>
      <c r="H160" s="462"/>
      <c r="I160" s="462"/>
      <c r="J160" s="462"/>
    </row>
    <row r="161" spans="1:10" ht="15">
      <c r="A161" s="462"/>
      <c r="B161" s="462"/>
      <c r="C161" s="462"/>
      <c r="D161" s="462"/>
      <c r="E161" s="462"/>
      <c r="F161" s="462"/>
      <c r="G161" s="462"/>
      <c r="H161" s="462"/>
      <c r="I161" s="462"/>
      <c r="J161" s="462"/>
    </row>
    <row r="162" spans="1:10" ht="15">
      <c r="A162" s="462"/>
      <c r="B162" s="462"/>
      <c r="C162" s="462"/>
      <c r="D162" s="462"/>
      <c r="E162" s="462"/>
      <c r="F162" s="462"/>
      <c r="G162" s="462"/>
      <c r="H162" s="462"/>
      <c r="I162" s="462"/>
      <c r="J162" s="462"/>
    </row>
    <row r="163" spans="1:10" ht="15">
      <c r="A163" s="462"/>
      <c r="B163" s="462"/>
      <c r="C163" s="462"/>
      <c r="D163" s="462"/>
      <c r="E163" s="462"/>
      <c r="F163" s="462"/>
      <c r="G163" s="462"/>
      <c r="H163" s="462"/>
      <c r="I163" s="462"/>
      <c r="J163" s="462"/>
    </row>
    <row r="164" spans="1:10" ht="15">
      <c r="A164" s="462"/>
      <c r="B164" s="462"/>
      <c r="C164" s="462"/>
      <c r="D164" s="462"/>
      <c r="E164" s="462"/>
      <c r="F164" s="462"/>
      <c r="G164" s="462"/>
      <c r="H164" s="462"/>
      <c r="I164" s="462"/>
      <c r="J164" s="462"/>
    </row>
    <row r="165" spans="1:10" ht="15">
      <c r="A165" s="462"/>
      <c r="B165" s="462"/>
      <c r="C165" s="462"/>
      <c r="D165" s="462"/>
      <c r="E165" s="462"/>
      <c r="F165" s="462"/>
      <c r="G165" s="462"/>
      <c r="H165" s="462"/>
      <c r="I165" s="462"/>
      <c r="J165" s="462"/>
    </row>
    <row r="166" spans="1:10" ht="15">
      <c r="A166" s="462"/>
      <c r="B166" s="462"/>
      <c r="C166" s="462"/>
      <c r="D166" s="462"/>
      <c r="E166" s="462"/>
      <c r="F166" s="462"/>
      <c r="G166" s="462"/>
      <c r="H166" s="462"/>
      <c r="I166" s="462"/>
      <c r="J166" s="462"/>
    </row>
    <row r="167" spans="1:10" ht="15">
      <c r="A167" s="462"/>
      <c r="B167" s="462"/>
      <c r="C167" s="462"/>
      <c r="D167" s="462"/>
      <c r="E167" s="462"/>
      <c r="F167" s="462"/>
      <c r="G167" s="462"/>
      <c r="H167" s="462"/>
      <c r="I167" s="462"/>
      <c r="J167" s="462"/>
    </row>
    <row r="168" spans="1:10" ht="15">
      <c r="A168" s="462"/>
      <c r="B168" s="462"/>
      <c r="C168" s="462"/>
      <c r="D168" s="462"/>
      <c r="E168" s="462"/>
      <c r="F168" s="462"/>
      <c r="G168" s="462"/>
      <c r="H168" s="462"/>
      <c r="I168" s="462"/>
      <c r="J168" s="462"/>
    </row>
    <row r="169" spans="1:10" ht="15">
      <c r="A169" s="462"/>
      <c r="B169" s="462"/>
      <c r="C169" s="462"/>
      <c r="D169" s="462"/>
      <c r="E169" s="462"/>
      <c r="F169" s="462"/>
      <c r="G169" s="462"/>
      <c r="H169" s="462"/>
      <c r="I169" s="462"/>
      <c r="J169" s="462"/>
    </row>
    <row r="170" spans="1:10" ht="15">
      <c r="A170" s="462"/>
      <c r="B170" s="462"/>
      <c r="C170" s="462"/>
      <c r="D170" s="462"/>
      <c r="E170" s="462"/>
      <c r="F170" s="462"/>
      <c r="G170" s="462"/>
      <c r="H170" s="462"/>
      <c r="I170" s="462"/>
      <c r="J170" s="462"/>
    </row>
    <row r="171" spans="1:10" ht="15">
      <c r="A171" s="462"/>
      <c r="B171" s="462"/>
      <c r="C171" s="462"/>
      <c r="D171" s="462"/>
      <c r="E171" s="462"/>
      <c r="F171" s="462"/>
      <c r="G171" s="462"/>
      <c r="H171" s="462"/>
      <c r="I171" s="462"/>
      <c r="J171" s="462"/>
    </row>
    <row r="172" spans="1:10" ht="15">
      <c r="A172" s="462"/>
      <c r="B172" s="462"/>
      <c r="C172" s="462"/>
      <c r="D172" s="462"/>
      <c r="E172" s="462"/>
      <c r="F172" s="462"/>
      <c r="G172" s="462"/>
      <c r="H172" s="462"/>
      <c r="I172" s="462"/>
      <c r="J172" s="462"/>
    </row>
    <row r="173" spans="1:10" ht="15">
      <c r="A173" s="462"/>
      <c r="B173" s="462"/>
      <c r="C173" s="462"/>
      <c r="D173" s="462"/>
      <c r="E173" s="462"/>
      <c r="F173" s="462"/>
      <c r="G173" s="462"/>
      <c r="H173" s="462"/>
      <c r="I173" s="462"/>
      <c r="J173" s="462"/>
    </row>
    <row r="174" spans="1:10" ht="15">
      <c r="A174" s="462"/>
      <c r="B174" s="462"/>
      <c r="C174" s="462"/>
      <c r="D174" s="462"/>
      <c r="E174" s="462"/>
      <c r="F174" s="462"/>
      <c r="G174" s="462"/>
      <c r="H174" s="462"/>
      <c r="I174" s="462"/>
      <c r="J174" s="462"/>
    </row>
    <row r="175" spans="1:10" ht="15">
      <c r="A175" s="462"/>
      <c r="B175" s="462"/>
      <c r="C175" s="462"/>
      <c r="D175" s="462"/>
      <c r="E175" s="462"/>
      <c r="F175" s="462"/>
      <c r="G175" s="462"/>
      <c r="H175" s="462"/>
      <c r="I175" s="462"/>
      <c r="J175" s="462"/>
    </row>
    <row r="176" spans="1:10" ht="15">
      <c r="A176" s="462"/>
      <c r="B176" s="462"/>
      <c r="C176" s="462"/>
      <c r="D176" s="462"/>
      <c r="E176" s="462"/>
      <c r="F176" s="462"/>
      <c r="G176" s="462"/>
      <c r="H176" s="462"/>
      <c r="I176" s="462"/>
      <c r="J176" s="462"/>
    </row>
    <row r="177" spans="1:10" ht="15">
      <c r="A177" s="462"/>
      <c r="B177" s="462"/>
      <c r="C177" s="462"/>
      <c r="D177" s="462"/>
      <c r="E177" s="462"/>
      <c r="F177" s="462"/>
      <c r="G177" s="462"/>
      <c r="H177" s="462"/>
      <c r="I177" s="462"/>
      <c r="J177" s="462"/>
    </row>
    <row r="178" spans="1:10" ht="15">
      <c r="A178" s="462"/>
      <c r="B178" s="462"/>
      <c r="C178" s="462"/>
      <c r="D178" s="462"/>
      <c r="E178" s="462"/>
      <c r="F178" s="462"/>
      <c r="G178" s="462"/>
      <c r="H178" s="462"/>
      <c r="I178" s="462"/>
      <c r="J178" s="462"/>
    </row>
    <row r="179" spans="1:10" ht="15">
      <c r="A179" s="462"/>
      <c r="B179" s="462"/>
      <c r="C179" s="462"/>
      <c r="D179" s="462"/>
      <c r="E179" s="462"/>
      <c r="F179" s="462"/>
      <c r="G179" s="462"/>
      <c r="H179" s="462"/>
      <c r="I179" s="462"/>
      <c r="J179" s="462"/>
    </row>
    <row r="180" spans="1:10" ht="15">
      <c r="A180" s="462"/>
      <c r="B180" s="462"/>
      <c r="C180" s="462"/>
      <c r="D180" s="462"/>
      <c r="E180" s="462"/>
      <c r="F180" s="462"/>
      <c r="G180" s="462"/>
      <c r="H180" s="462"/>
      <c r="I180" s="462"/>
      <c r="J180" s="462"/>
    </row>
    <row r="181" spans="1:10" ht="15">
      <c r="A181" s="462"/>
      <c r="B181" s="462"/>
      <c r="C181" s="462"/>
      <c r="D181" s="462"/>
      <c r="E181" s="462"/>
      <c r="F181" s="462"/>
      <c r="G181" s="462"/>
      <c r="H181" s="462"/>
      <c r="I181" s="462"/>
      <c r="J181" s="462"/>
    </row>
    <row r="182" spans="1:10" ht="15">
      <c r="A182" s="462"/>
      <c r="B182" s="462"/>
      <c r="C182" s="462"/>
      <c r="D182" s="462"/>
      <c r="E182" s="462"/>
      <c r="F182" s="462"/>
      <c r="G182" s="462"/>
      <c r="H182" s="462"/>
      <c r="I182" s="462"/>
      <c r="J182" s="462"/>
    </row>
    <row r="183" spans="1:10" ht="15">
      <c r="A183" s="462"/>
      <c r="B183" s="462"/>
      <c r="C183" s="462"/>
      <c r="D183" s="462"/>
      <c r="E183" s="462"/>
      <c r="F183" s="462"/>
      <c r="G183" s="462"/>
      <c r="H183" s="462"/>
      <c r="I183" s="462"/>
      <c r="J183" s="462"/>
    </row>
    <row r="184" spans="1:10" ht="15">
      <c r="A184" s="462"/>
      <c r="B184" s="462"/>
      <c r="C184" s="462"/>
      <c r="D184" s="462"/>
      <c r="E184" s="462"/>
      <c r="F184" s="462"/>
      <c r="G184" s="462"/>
      <c r="H184" s="462"/>
      <c r="I184" s="462"/>
      <c r="J184" s="462"/>
    </row>
    <row r="185" spans="1:10" ht="15">
      <c r="A185" s="462"/>
      <c r="B185" s="462"/>
      <c r="C185" s="462"/>
      <c r="D185" s="462"/>
      <c r="E185" s="462"/>
      <c r="F185" s="462"/>
      <c r="G185" s="462"/>
      <c r="H185" s="462"/>
      <c r="I185" s="462"/>
      <c r="J185" s="462"/>
    </row>
    <row r="186" spans="1:10" ht="15">
      <c r="A186" s="462"/>
      <c r="B186" s="462"/>
      <c r="C186" s="462"/>
      <c r="D186" s="462"/>
      <c r="E186" s="462"/>
      <c r="F186" s="462"/>
      <c r="G186" s="462"/>
      <c r="H186" s="462"/>
      <c r="I186" s="462"/>
      <c r="J186" s="462"/>
    </row>
    <row r="187" spans="1:10" ht="15">
      <c r="A187" s="462"/>
      <c r="B187" s="462"/>
      <c r="C187" s="462"/>
      <c r="D187" s="462"/>
      <c r="E187" s="462"/>
      <c r="F187" s="462"/>
      <c r="G187" s="462"/>
      <c r="H187" s="462"/>
      <c r="I187" s="462"/>
      <c r="J187" s="462"/>
    </row>
    <row r="188" spans="1:10" ht="15">
      <c r="A188" s="462"/>
      <c r="B188" s="462"/>
      <c r="C188" s="462"/>
      <c r="D188" s="462"/>
      <c r="E188" s="462"/>
      <c r="F188" s="462"/>
      <c r="G188" s="462"/>
      <c r="H188" s="462"/>
      <c r="I188" s="462"/>
      <c r="J188" s="462"/>
    </row>
    <row r="189" spans="1:10" ht="15">
      <c r="A189" s="462"/>
      <c r="B189" s="462"/>
      <c r="C189" s="462"/>
      <c r="D189" s="462"/>
      <c r="E189" s="462"/>
      <c r="F189" s="462"/>
      <c r="G189" s="462"/>
      <c r="H189" s="462"/>
      <c r="I189" s="462"/>
      <c r="J189" s="462"/>
    </row>
    <row r="190" spans="1:10" ht="15">
      <c r="A190" s="462"/>
      <c r="B190" s="462"/>
      <c r="C190" s="462"/>
      <c r="D190" s="462"/>
      <c r="E190" s="462"/>
      <c r="F190" s="462"/>
      <c r="G190" s="462"/>
      <c r="H190" s="462"/>
      <c r="I190" s="462"/>
      <c r="J190" s="462"/>
    </row>
    <row r="191" spans="1:10" ht="15">
      <c r="A191" s="462"/>
      <c r="B191" s="462"/>
      <c r="C191" s="462"/>
      <c r="D191" s="462"/>
      <c r="E191" s="462"/>
      <c r="F191" s="462"/>
      <c r="G191" s="462"/>
      <c r="H191" s="462"/>
      <c r="I191" s="462"/>
      <c r="J191" s="462"/>
    </row>
    <row r="192" spans="1:10" ht="15">
      <c r="A192" s="462"/>
      <c r="B192" s="462"/>
      <c r="C192" s="462"/>
      <c r="D192" s="462"/>
      <c r="E192" s="462"/>
      <c r="F192" s="462"/>
      <c r="G192" s="462"/>
      <c r="H192" s="462"/>
      <c r="I192" s="462"/>
      <c r="J192" s="462"/>
    </row>
    <row r="193" spans="1:10" ht="15">
      <c r="A193" s="462"/>
      <c r="B193" s="462"/>
      <c r="C193" s="462"/>
      <c r="D193" s="462"/>
      <c r="E193" s="462"/>
      <c r="F193" s="462"/>
      <c r="G193" s="462"/>
      <c r="H193" s="462"/>
      <c r="I193" s="462"/>
      <c r="J193" s="462"/>
    </row>
    <row r="194" spans="1:10" ht="15">
      <c r="A194" s="462"/>
      <c r="B194" s="462"/>
      <c r="C194" s="462"/>
      <c r="D194" s="462"/>
      <c r="E194" s="462"/>
      <c r="F194" s="462"/>
      <c r="G194" s="462"/>
      <c r="H194" s="462"/>
      <c r="I194" s="462"/>
      <c r="J194" s="462"/>
    </row>
    <row r="195" spans="1:10" ht="15">
      <c r="A195" s="462"/>
      <c r="B195" s="462"/>
      <c r="C195" s="462"/>
      <c r="D195" s="462"/>
      <c r="E195" s="462"/>
      <c r="F195" s="462"/>
      <c r="G195" s="462"/>
      <c r="H195" s="462"/>
      <c r="I195" s="462"/>
      <c r="J195" s="462"/>
    </row>
    <row r="196" spans="1:10" ht="15">
      <c r="A196" s="462"/>
      <c r="B196" s="462"/>
      <c r="C196" s="462"/>
      <c r="D196" s="462"/>
      <c r="E196" s="462"/>
      <c r="F196" s="462"/>
      <c r="G196" s="462"/>
      <c r="H196" s="462"/>
      <c r="I196" s="462"/>
      <c r="J196" s="462"/>
    </row>
    <row r="197" spans="1:10" ht="15">
      <c r="A197" s="462"/>
      <c r="B197" s="462"/>
      <c r="C197" s="462"/>
      <c r="D197" s="462"/>
      <c r="E197" s="462"/>
      <c r="F197" s="462"/>
      <c r="G197" s="462"/>
      <c r="H197" s="462"/>
      <c r="I197" s="462"/>
      <c r="J197" s="462"/>
    </row>
    <row r="198" spans="1:10" ht="15">
      <c r="A198" s="462"/>
      <c r="B198" s="462"/>
      <c r="C198" s="462"/>
      <c r="D198" s="462"/>
      <c r="E198" s="462"/>
      <c r="F198" s="462"/>
      <c r="G198" s="462"/>
      <c r="H198" s="462"/>
      <c r="I198" s="462"/>
      <c r="J198" s="462"/>
    </row>
    <row r="199" spans="1:10" ht="15">
      <c r="A199" s="462"/>
      <c r="B199" s="462"/>
      <c r="C199" s="462"/>
      <c r="D199" s="462"/>
      <c r="E199" s="462"/>
      <c r="F199" s="462"/>
      <c r="G199" s="462"/>
      <c r="H199" s="462"/>
      <c r="I199" s="462"/>
      <c r="J199" s="462"/>
    </row>
    <row r="200" spans="1:10" ht="15">
      <c r="A200" s="462"/>
      <c r="B200" s="462"/>
      <c r="C200" s="462"/>
      <c r="D200" s="462"/>
      <c r="E200" s="462"/>
      <c r="F200" s="462"/>
      <c r="G200" s="462"/>
      <c r="H200" s="462"/>
      <c r="I200" s="462"/>
      <c r="J200" s="462"/>
    </row>
    <row r="201" spans="1:10" ht="15">
      <c r="A201" s="462"/>
      <c r="B201" s="462"/>
      <c r="C201" s="462"/>
      <c r="D201" s="462"/>
      <c r="E201" s="462"/>
      <c r="F201" s="462"/>
      <c r="G201" s="462"/>
      <c r="H201" s="462"/>
      <c r="I201" s="462"/>
      <c r="J201" s="462"/>
    </row>
    <row r="202" spans="1:10" ht="15">
      <c r="A202" s="462"/>
      <c r="B202" s="462"/>
      <c r="C202" s="462"/>
      <c r="D202" s="462"/>
      <c r="E202" s="462"/>
      <c r="F202" s="462"/>
      <c r="G202" s="462"/>
      <c r="H202" s="462"/>
      <c r="I202" s="462"/>
      <c r="J202" s="462"/>
    </row>
    <row r="203" spans="1:10" ht="15">
      <c r="A203" s="462"/>
      <c r="B203" s="462"/>
      <c r="C203" s="462"/>
      <c r="D203" s="462"/>
      <c r="E203" s="462"/>
      <c r="F203" s="462"/>
      <c r="G203" s="462"/>
      <c r="H203" s="462"/>
      <c r="I203" s="462"/>
      <c r="J203" s="462"/>
    </row>
    <row r="204" spans="1:10" ht="15">
      <c r="A204" s="462"/>
      <c r="B204" s="462"/>
      <c r="C204" s="462"/>
      <c r="D204" s="462"/>
      <c r="E204" s="462"/>
      <c r="F204" s="462"/>
      <c r="G204" s="462"/>
      <c r="H204" s="462"/>
      <c r="I204" s="462"/>
      <c r="J204" s="462"/>
    </row>
    <row r="205" spans="1:10" ht="15">
      <c r="A205" s="462"/>
      <c r="B205" s="462"/>
      <c r="C205" s="462"/>
      <c r="D205" s="462"/>
      <c r="E205" s="462"/>
      <c r="F205" s="462"/>
      <c r="G205" s="462"/>
      <c r="H205" s="462"/>
      <c r="I205" s="462"/>
      <c r="J205" s="462"/>
    </row>
    <row r="206" spans="1:10" ht="15">
      <c r="A206" s="462"/>
      <c r="B206" s="462"/>
      <c r="C206" s="462"/>
      <c r="D206" s="462"/>
      <c r="E206" s="462"/>
      <c r="F206" s="462"/>
      <c r="G206" s="462"/>
      <c r="H206" s="462"/>
      <c r="I206" s="462"/>
      <c r="J206" s="462"/>
    </row>
    <row r="207" spans="1:10" ht="15">
      <c r="A207" s="462"/>
      <c r="B207" s="462"/>
      <c r="C207" s="462"/>
      <c r="D207" s="462"/>
      <c r="E207" s="462"/>
      <c r="F207" s="462"/>
      <c r="G207" s="462"/>
      <c r="H207" s="462"/>
      <c r="I207" s="462"/>
      <c r="J207" s="462"/>
    </row>
    <row r="208" spans="1:10" ht="15">
      <c r="A208" s="462"/>
      <c r="B208" s="462"/>
      <c r="C208" s="462"/>
      <c r="D208" s="462"/>
      <c r="E208" s="462"/>
      <c r="F208" s="462"/>
      <c r="G208" s="462"/>
      <c r="H208" s="462"/>
      <c r="I208" s="462"/>
      <c r="J208" s="462"/>
    </row>
    <row r="209" spans="1:10" ht="15">
      <c r="A209" s="462"/>
      <c r="B209" s="462"/>
      <c r="C209" s="462"/>
      <c r="D209" s="462"/>
      <c r="E209" s="462"/>
      <c r="F209" s="462"/>
      <c r="G209" s="462"/>
      <c r="H209" s="462"/>
      <c r="I209" s="462"/>
      <c r="J209" s="462"/>
    </row>
    <row r="210" spans="1:10" ht="15">
      <c r="A210" s="462"/>
      <c r="B210" s="462"/>
      <c r="C210" s="462"/>
      <c r="D210" s="462"/>
      <c r="E210" s="462"/>
      <c r="F210" s="462"/>
      <c r="G210" s="462"/>
      <c r="H210" s="462"/>
      <c r="I210" s="462"/>
      <c r="J210" s="462"/>
    </row>
    <row r="211" spans="1:10" ht="15">
      <c r="A211" s="462"/>
      <c r="B211" s="462"/>
      <c r="C211" s="462"/>
      <c r="D211" s="462"/>
      <c r="E211" s="462"/>
      <c r="F211" s="462"/>
      <c r="G211" s="462"/>
      <c r="H211" s="462"/>
      <c r="I211" s="462"/>
      <c r="J211" s="462"/>
    </row>
    <row r="212" spans="1:10" ht="15">
      <c r="A212" s="462"/>
      <c r="B212" s="462"/>
      <c r="C212" s="462"/>
      <c r="D212" s="462"/>
      <c r="E212" s="462"/>
      <c r="F212" s="462"/>
      <c r="G212" s="462"/>
      <c r="H212" s="462"/>
      <c r="I212" s="462"/>
      <c r="J212" s="462"/>
    </row>
    <row r="213" spans="1:10" ht="15">
      <c r="A213" s="462"/>
      <c r="B213" s="462"/>
      <c r="C213" s="462"/>
      <c r="D213" s="462"/>
      <c r="E213" s="462"/>
      <c r="F213" s="462"/>
      <c r="G213" s="462"/>
      <c r="H213" s="462"/>
      <c r="I213" s="462"/>
      <c r="J213" s="462"/>
    </row>
    <row r="214" spans="1:10" ht="15">
      <c r="A214" s="462"/>
      <c r="B214" s="462"/>
      <c r="C214" s="462"/>
      <c r="D214" s="462"/>
      <c r="E214" s="462"/>
      <c r="F214" s="462"/>
      <c r="G214" s="462"/>
      <c r="H214" s="462"/>
      <c r="I214" s="462"/>
      <c r="J214" s="462"/>
    </row>
    <row r="215" spans="1:10" ht="15">
      <c r="A215" s="462"/>
      <c r="B215" s="462"/>
      <c r="C215" s="462"/>
      <c r="D215" s="462"/>
      <c r="E215" s="462"/>
      <c r="F215" s="462"/>
      <c r="G215" s="462"/>
      <c r="H215" s="462"/>
      <c r="I215" s="462"/>
      <c r="J215" s="462"/>
    </row>
    <row r="216" spans="1:10" ht="15">
      <c r="A216" s="462"/>
      <c r="B216" s="462"/>
      <c r="C216" s="462"/>
      <c r="D216" s="462"/>
      <c r="E216" s="462"/>
      <c r="F216" s="462"/>
      <c r="G216" s="462"/>
      <c r="H216" s="462"/>
      <c r="I216" s="462"/>
      <c r="J216" s="462"/>
    </row>
    <row r="217" spans="1:10" ht="15">
      <c r="A217" s="462"/>
      <c r="B217" s="462"/>
      <c r="C217" s="462"/>
      <c r="D217" s="462"/>
      <c r="E217" s="462"/>
      <c r="F217" s="462"/>
      <c r="G217" s="462"/>
      <c r="H217" s="462"/>
      <c r="I217" s="462"/>
      <c r="J217" s="462"/>
    </row>
    <row r="218" spans="1:10" ht="15">
      <c r="A218" s="462"/>
      <c r="B218" s="462"/>
      <c r="C218" s="462"/>
      <c r="D218" s="462"/>
      <c r="E218" s="462"/>
      <c r="F218" s="462"/>
      <c r="G218" s="462"/>
      <c r="H218" s="462"/>
      <c r="I218" s="462"/>
      <c r="J218" s="462"/>
    </row>
    <row r="219" spans="1:10" ht="15">
      <c r="A219" s="462"/>
      <c r="B219" s="462"/>
      <c r="C219" s="462"/>
      <c r="D219" s="462"/>
      <c r="E219" s="462"/>
      <c r="F219" s="462"/>
      <c r="G219" s="462"/>
      <c r="H219" s="462"/>
      <c r="I219" s="462"/>
      <c r="J219" s="462"/>
    </row>
    <row r="220" spans="1:10" ht="15">
      <c r="A220" s="462"/>
      <c r="B220" s="462"/>
      <c r="C220" s="462"/>
      <c r="D220" s="462"/>
      <c r="E220" s="462"/>
      <c r="F220" s="462"/>
      <c r="G220" s="462"/>
      <c r="H220" s="462"/>
      <c r="I220" s="462"/>
      <c r="J220" s="462"/>
    </row>
    <row r="221" spans="1:10" ht="15">
      <c r="A221" s="462"/>
      <c r="B221" s="462"/>
      <c r="C221" s="462"/>
      <c r="D221" s="462"/>
      <c r="E221" s="462"/>
      <c r="F221" s="462"/>
      <c r="G221" s="462"/>
      <c r="H221" s="462"/>
      <c r="I221" s="462"/>
      <c r="J221" s="462"/>
    </row>
    <row r="222" spans="1:10" ht="15">
      <c r="A222" s="462"/>
      <c r="B222" s="462"/>
      <c r="C222" s="462"/>
      <c r="D222" s="462"/>
      <c r="E222" s="462"/>
      <c r="F222" s="462"/>
      <c r="G222" s="462"/>
      <c r="H222" s="462"/>
      <c r="I222" s="462"/>
      <c r="J222" s="462"/>
    </row>
    <row r="223" spans="1:10" ht="15">
      <c r="A223" s="462"/>
      <c r="B223" s="462"/>
      <c r="C223" s="462"/>
      <c r="D223" s="462"/>
      <c r="E223" s="462"/>
      <c r="F223" s="462"/>
      <c r="G223" s="462"/>
      <c r="H223" s="462"/>
      <c r="I223" s="462"/>
      <c r="J223" s="462"/>
    </row>
    <row r="224" spans="1:10" ht="15">
      <c r="A224" s="462"/>
      <c r="B224" s="462"/>
      <c r="C224" s="462"/>
      <c r="D224" s="462"/>
      <c r="E224" s="462"/>
      <c r="F224" s="462"/>
      <c r="G224" s="462"/>
      <c r="H224" s="462"/>
      <c r="I224" s="462"/>
      <c r="J224" s="462"/>
    </row>
    <row r="225" spans="1:10" ht="15">
      <c r="A225" s="462"/>
      <c r="B225" s="462"/>
      <c r="C225" s="462"/>
      <c r="D225" s="462"/>
      <c r="E225" s="462"/>
      <c r="F225" s="462"/>
      <c r="G225" s="462"/>
      <c r="H225" s="462"/>
      <c r="I225" s="462"/>
      <c r="J225" s="462"/>
    </row>
    <row r="226" spans="1:10" ht="15">
      <c r="A226" s="462"/>
      <c r="B226" s="462"/>
      <c r="C226" s="462"/>
      <c r="D226" s="462"/>
      <c r="E226" s="462"/>
      <c r="F226" s="462"/>
      <c r="G226" s="462"/>
      <c r="H226" s="462"/>
      <c r="I226" s="462"/>
      <c r="J226" s="462"/>
    </row>
    <row r="227" spans="1:10" ht="15">
      <c r="A227" s="462"/>
      <c r="B227" s="462"/>
      <c r="C227" s="462"/>
      <c r="D227" s="462"/>
      <c r="E227" s="462"/>
      <c r="F227" s="462"/>
      <c r="G227" s="462"/>
      <c r="H227" s="462"/>
      <c r="I227" s="462"/>
      <c r="J227" s="462"/>
    </row>
    <row r="228" spans="1:10" ht="15">
      <c r="A228" s="462"/>
      <c r="B228" s="462"/>
      <c r="C228" s="462"/>
      <c r="D228" s="462"/>
      <c r="E228" s="462"/>
      <c r="F228" s="462"/>
      <c r="G228" s="462"/>
      <c r="H228" s="462"/>
      <c r="I228" s="462"/>
      <c r="J228" s="462"/>
    </row>
    <row r="229" spans="1:10" ht="15">
      <c r="A229" s="462"/>
      <c r="B229" s="462"/>
      <c r="C229" s="462"/>
      <c r="D229" s="462"/>
      <c r="E229" s="462"/>
      <c r="F229" s="462"/>
      <c r="G229" s="462"/>
      <c r="H229" s="462"/>
      <c r="I229" s="462"/>
      <c r="J229" s="462"/>
    </row>
    <row r="230" spans="1:10" ht="15">
      <c r="A230" s="462"/>
      <c r="B230" s="462"/>
      <c r="C230" s="462"/>
      <c r="D230" s="462"/>
      <c r="E230" s="462"/>
      <c r="F230" s="462"/>
      <c r="G230" s="462"/>
      <c r="H230" s="462"/>
      <c r="I230" s="462"/>
      <c r="J230" s="462"/>
    </row>
    <row r="231" spans="1:10" ht="15">
      <c r="A231" s="462"/>
      <c r="B231" s="462"/>
      <c r="C231" s="462"/>
      <c r="D231" s="462"/>
      <c r="E231" s="462"/>
      <c r="F231" s="462"/>
      <c r="G231" s="462"/>
      <c r="H231" s="462"/>
      <c r="I231" s="462"/>
      <c r="J231" s="462"/>
    </row>
    <row r="232" spans="1:10" ht="15">
      <c r="A232" s="462"/>
      <c r="B232" s="462"/>
      <c r="C232" s="462"/>
      <c r="D232" s="462"/>
      <c r="E232" s="462"/>
      <c r="F232" s="462"/>
      <c r="G232" s="462"/>
      <c r="H232" s="462"/>
      <c r="I232" s="462"/>
      <c r="J232" s="462"/>
    </row>
    <row r="233" spans="1:10" ht="15">
      <c r="A233" s="462"/>
      <c r="B233" s="462"/>
      <c r="C233" s="462"/>
      <c r="D233" s="462"/>
      <c r="E233" s="462"/>
      <c r="F233" s="462"/>
      <c r="G233" s="462"/>
      <c r="H233" s="462"/>
      <c r="I233" s="462"/>
      <c r="J233" s="462"/>
    </row>
    <row r="234" spans="1:10" ht="15">
      <c r="A234" s="462"/>
      <c r="B234" s="462"/>
      <c r="C234" s="462"/>
      <c r="D234" s="462"/>
      <c r="E234" s="462"/>
      <c r="F234" s="462"/>
      <c r="G234" s="462"/>
      <c r="H234" s="462"/>
      <c r="I234" s="462"/>
      <c r="J234" s="462"/>
    </row>
    <row r="235" spans="1:10" ht="15">
      <c r="A235" s="462"/>
      <c r="B235" s="462"/>
      <c r="C235" s="462"/>
      <c r="D235" s="462"/>
      <c r="E235" s="462"/>
      <c r="F235" s="462"/>
      <c r="G235" s="462"/>
      <c r="H235" s="462"/>
      <c r="I235" s="462"/>
      <c r="J235" s="462"/>
    </row>
    <row r="236" spans="1:10" ht="15">
      <c r="A236" s="462"/>
      <c r="B236" s="462"/>
      <c r="C236" s="462"/>
      <c r="D236" s="462"/>
      <c r="E236" s="462"/>
      <c r="F236" s="462"/>
      <c r="G236" s="462"/>
      <c r="H236" s="462"/>
      <c r="I236" s="462"/>
      <c r="J236" s="462"/>
    </row>
    <row r="237" spans="1:10" ht="15">
      <c r="A237" s="462"/>
      <c r="B237" s="462"/>
      <c r="C237" s="462"/>
      <c r="D237" s="462"/>
      <c r="E237" s="462"/>
      <c r="F237" s="462"/>
      <c r="G237" s="462"/>
      <c r="H237" s="462"/>
      <c r="I237" s="462"/>
      <c r="J237" s="462"/>
    </row>
    <row r="238" spans="1:10" ht="15">
      <c r="A238" s="462"/>
      <c r="B238" s="462"/>
      <c r="C238" s="462"/>
      <c r="D238" s="462"/>
      <c r="E238" s="462"/>
      <c r="F238" s="462"/>
      <c r="G238" s="462"/>
      <c r="H238" s="462"/>
      <c r="I238" s="462"/>
      <c r="J238" s="462"/>
    </row>
    <row r="239" spans="1:10" ht="15">
      <c r="A239" s="462"/>
      <c r="B239" s="462"/>
      <c r="C239" s="462"/>
      <c r="D239" s="462"/>
      <c r="E239" s="462"/>
      <c r="F239" s="462"/>
      <c r="G239" s="462"/>
      <c r="H239" s="462"/>
      <c r="I239" s="462"/>
      <c r="J239" s="462"/>
    </row>
    <row r="240" spans="1:10" ht="15">
      <c r="A240" s="462"/>
      <c r="B240" s="462"/>
      <c r="C240" s="462"/>
      <c r="D240" s="462"/>
      <c r="E240" s="462"/>
      <c r="F240" s="462"/>
      <c r="G240" s="462"/>
      <c r="H240" s="462"/>
      <c r="I240" s="462"/>
      <c r="J240" s="462"/>
    </row>
    <row r="241" spans="1:10" ht="15">
      <c r="A241" s="462"/>
      <c r="B241" s="462"/>
      <c r="C241" s="462"/>
      <c r="D241" s="462"/>
      <c r="E241" s="462"/>
      <c r="F241" s="462"/>
      <c r="G241" s="462"/>
      <c r="H241" s="462"/>
      <c r="I241" s="462"/>
      <c r="J241" s="462"/>
    </row>
    <row r="242" spans="1:10" ht="15">
      <c r="A242" s="462"/>
      <c r="B242" s="462"/>
      <c r="C242" s="462"/>
      <c r="D242" s="462"/>
      <c r="E242" s="462"/>
      <c r="F242" s="462"/>
      <c r="G242" s="462"/>
      <c r="H242" s="462"/>
      <c r="I242" s="462"/>
      <c r="J242" s="462"/>
    </row>
    <row r="243" spans="1:10" ht="15">
      <c r="A243" s="462"/>
      <c r="B243" s="462"/>
      <c r="C243" s="462"/>
      <c r="D243" s="462"/>
      <c r="E243" s="462"/>
      <c r="F243" s="462"/>
      <c r="G243" s="462"/>
      <c r="H243" s="462"/>
      <c r="I243" s="462"/>
      <c r="J243" s="462"/>
    </row>
    <row r="244" spans="1:10" ht="15">
      <c r="A244" s="462"/>
      <c r="B244" s="462"/>
      <c r="C244" s="462"/>
      <c r="D244" s="462"/>
      <c r="E244" s="462"/>
      <c r="F244" s="462"/>
      <c r="G244" s="462"/>
      <c r="H244" s="462"/>
      <c r="I244" s="462"/>
      <c r="J244" s="462"/>
    </row>
    <row r="245" spans="1:10" ht="15">
      <c r="A245" s="462"/>
      <c r="B245" s="462"/>
      <c r="C245" s="462"/>
      <c r="D245" s="462"/>
      <c r="E245" s="462"/>
      <c r="F245" s="462"/>
      <c r="G245" s="462"/>
      <c r="H245" s="462"/>
      <c r="I245" s="462"/>
      <c r="J245" s="462"/>
    </row>
    <row r="246" spans="1:10" ht="15">
      <c r="A246" s="462"/>
      <c r="B246" s="462"/>
      <c r="C246" s="462"/>
      <c r="D246" s="462"/>
      <c r="E246" s="462"/>
      <c r="F246" s="462"/>
      <c r="G246" s="462"/>
      <c r="H246" s="462"/>
      <c r="I246" s="462"/>
      <c r="J246" s="462"/>
    </row>
    <row r="247" spans="1:10" ht="15">
      <c r="A247" s="462"/>
      <c r="B247" s="462"/>
      <c r="C247" s="462"/>
      <c r="D247" s="462"/>
      <c r="E247" s="462"/>
      <c r="F247" s="462"/>
      <c r="G247" s="462"/>
      <c r="H247" s="462"/>
      <c r="I247" s="462"/>
      <c r="J247" s="462"/>
    </row>
    <row r="248" spans="1:10" ht="15">
      <c r="A248" s="462"/>
      <c r="B248" s="462"/>
      <c r="C248" s="462"/>
      <c r="D248" s="462"/>
      <c r="E248" s="462"/>
      <c r="F248" s="462"/>
      <c r="G248" s="462"/>
      <c r="H248" s="462"/>
      <c r="I248" s="462"/>
      <c r="J248" s="462"/>
    </row>
    <row r="249" spans="1:10" ht="15">
      <c r="A249" s="462"/>
      <c r="B249" s="462"/>
      <c r="C249" s="462"/>
      <c r="D249" s="462"/>
      <c r="E249" s="462"/>
      <c r="F249" s="462"/>
      <c r="G249" s="462"/>
      <c r="H249" s="462"/>
      <c r="I249" s="462"/>
      <c r="J249" s="462"/>
    </row>
    <row r="250" spans="1:10" ht="15">
      <c r="A250" s="462"/>
      <c r="B250" s="462"/>
      <c r="C250" s="462"/>
      <c r="D250" s="462"/>
      <c r="E250" s="462"/>
      <c r="F250" s="462"/>
      <c r="G250" s="462"/>
      <c r="H250" s="462"/>
      <c r="I250" s="462"/>
      <c r="J250" s="462"/>
    </row>
    <row r="251" spans="1:10" ht="15">
      <c r="A251" s="462"/>
      <c r="B251" s="462"/>
      <c r="C251" s="462"/>
      <c r="D251" s="462"/>
      <c r="E251" s="462"/>
      <c r="F251" s="462"/>
      <c r="G251" s="462"/>
      <c r="H251" s="462"/>
      <c r="I251" s="462"/>
      <c r="J251" s="462"/>
    </row>
    <row r="252" spans="1:10" ht="15">
      <c r="A252" s="462"/>
      <c r="B252" s="462"/>
      <c r="C252" s="462"/>
      <c r="D252" s="462"/>
      <c r="E252" s="462"/>
      <c r="F252" s="462"/>
      <c r="G252" s="462"/>
      <c r="H252" s="462"/>
      <c r="I252" s="462"/>
      <c r="J252" s="462"/>
    </row>
    <row r="253" spans="1:10" ht="15">
      <c r="A253" s="462"/>
      <c r="B253" s="462"/>
      <c r="C253" s="462"/>
      <c r="D253" s="462"/>
      <c r="E253" s="462"/>
      <c r="F253" s="462"/>
      <c r="G253" s="462"/>
      <c r="H253" s="462"/>
      <c r="I253" s="462"/>
      <c r="J253" s="462"/>
    </row>
    <row r="254" spans="1:10" ht="15">
      <c r="A254" s="462"/>
      <c r="B254" s="462"/>
      <c r="C254" s="462"/>
      <c r="D254" s="462"/>
      <c r="E254" s="462"/>
      <c r="F254" s="462"/>
      <c r="G254" s="462"/>
      <c r="H254" s="462"/>
      <c r="I254" s="462"/>
      <c r="J254" s="462"/>
    </row>
    <row r="255" spans="1:10" ht="15">
      <c r="A255" s="462"/>
      <c r="B255" s="462"/>
      <c r="C255" s="462"/>
      <c r="D255" s="462"/>
      <c r="E255" s="462"/>
      <c r="F255" s="462"/>
      <c r="G255" s="462"/>
      <c r="H255" s="462"/>
      <c r="I255" s="462"/>
      <c r="J255" s="462"/>
    </row>
    <row r="256" spans="1:10" ht="15">
      <c r="A256" s="462"/>
      <c r="B256" s="462"/>
      <c r="C256" s="462"/>
      <c r="D256" s="462"/>
      <c r="E256" s="462"/>
      <c r="F256" s="462"/>
      <c r="G256" s="462"/>
      <c r="H256" s="462"/>
      <c r="I256" s="462"/>
      <c r="J256" s="462"/>
    </row>
    <row r="257" spans="1:10" ht="15">
      <c r="A257" s="462"/>
      <c r="B257" s="462"/>
      <c r="C257" s="462"/>
      <c r="D257" s="462"/>
      <c r="E257" s="462"/>
      <c r="F257" s="462"/>
      <c r="G257" s="462"/>
      <c r="H257" s="462"/>
      <c r="I257" s="462"/>
      <c r="J257" s="462"/>
    </row>
    <row r="258" spans="1:10" ht="15">
      <c r="A258" s="462"/>
      <c r="B258" s="462"/>
      <c r="C258" s="462"/>
      <c r="D258" s="462"/>
      <c r="E258" s="462"/>
      <c r="F258" s="462"/>
      <c r="G258" s="462"/>
      <c r="H258" s="462"/>
      <c r="I258" s="462"/>
      <c r="J258" s="462"/>
    </row>
    <row r="259" spans="1:10" ht="15">
      <c r="A259" s="462"/>
      <c r="B259" s="462"/>
      <c r="C259" s="462"/>
      <c r="D259" s="462"/>
      <c r="E259" s="462"/>
      <c r="F259" s="462"/>
      <c r="G259" s="462"/>
      <c r="H259" s="462"/>
      <c r="I259" s="462"/>
      <c r="J259" s="462"/>
    </row>
    <row r="260" spans="1:10" ht="15">
      <c r="A260" s="462"/>
      <c r="B260" s="462"/>
      <c r="C260" s="462"/>
      <c r="D260" s="462"/>
      <c r="E260" s="462"/>
      <c r="F260" s="462"/>
      <c r="G260" s="462"/>
      <c r="H260" s="462"/>
      <c r="I260" s="462"/>
      <c r="J260" s="462"/>
    </row>
    <row r="261" spans="1:10" ht="15">
      <c r="A261" s="462"/>
      <c r="B261" s="462"/>
      <c r="C261" s="462"/>
      <c r="D261" s="462"/>
      <c r="E261" s="462"/>
      <c r="F261" s="462"/>
      <c r="G261" s="462"/>
      <c r="H261" s="462"/>
      <c r="I261" s="462"/>
      <c r="J261" s="462"/>
    </row>
    <row r="262" spans="1:10" ht="15">
      <c r="A262" s="462"/>
      <c r="B262" s="462"/>
      <c r="C262" s="462"/>
      <c r="D262" s="462"/>
      <c r="E262" s="462"/>
      <c r="F262" s="462"/>
      <c r="G262" s="462"/>
      <c r="H262" s="462"/>
      <c r="I262" s="462"/>
      <c r="J262" s="462"/>
    </row>
    <row r="263" spans="1:10" ht="15">
      <c r="A263" s="462"/>
      <c r="B263" s="462"/>
      <c r="C263" s="462"/>
      <c r="D263" s="462"/>
      <c r="E263" s="462"/>
      <c r="F263" s="462"/>
      <c r="G263" s="462"/>
      <c r="H263" s="462"/>
      <c r="I263" s="462"/>
      <c r="J263" s="462"/>
    </row>
    <row r="264" spans="1:10" ht="15">
      <c r="A264" s="462"/>
      <c r="B264" s="462"/>
      <c r="C264" s="462"/>
      <c r="D264" s="462"/>
      <c r="E264" s="462"/>
      <c r="F264" s="462"/>
      <c r="G264" s="462"/>
      <c r="H264" s="462"/>
      <c r="I264" s="462"/>
      <c r="J264" s="462"/>
    </row>
    <row r="265" spans="1:10" ht="15">
      <c r="A265" s="462"/>
      <c r="B265" s="462"/>
      <c r="C265" s="462"/>
      <c r="D265" s="462"/>
      <c r="E265" s="462"/>
      <c r="F265" s="462"/>
      <c r="G265" s="462"/>
      <c r="H265" s="462"/>
      <c r="I265" s="462"/>
      <c r="J265" s="462"/>
    </row>
    <row r="266" spans="1:10" ht="15">
      <c r="A266" s="462"/>
      <c r="B266" s="462"/>
      <c r="C266" s="462"/>
      <c r="D266" s="462"/>
      <c r="E266" s="462"/>
      <c r="F266" s="462"/>
      <c r="G266" s="462"/>
      <c r="H266" s="462"/>
      <c r="I266" s="462"/>
      <c r="J266" s="462"/>
    </row>
    <row r="267" spans="1:10" ht="15">
      <c r="A267" s="462"/>
      <c r="B267" s="462"/>
      <c r="C267" s="462"/>
      <c r="D267" s="462"/>
      <c r="E267" s="462"/>
      <c r="F267" s="462"/>
      <c r="G267" s="462"/>
      <c r="H267" s="462"/>
      <c r="I267" s="462"/>
      <c r="J267" s="462"/>
    </row>
    <row r="268" spans="1:10" ht="15">
      <c r="A268" s="462"/>
      <c r="B268" s="462"/>
      <c r="C268" s="462"/>
      <c r="D268" s="462"/>
      <c r="E268" s="462"/>
      <c r="F268" s="462"/>
      <c r="G268" s="462"/>
      <c r="H268" s="462"/>
      <c r="I268" s="462"/>
      <c r="J268" s="462"/>
    </row>
    <row r="269" spans="1:10" ht="15">
      <c r="A269" s="462"/>
      <c r="B269" s="462"/>
      <c r="C269" s="462"/>
      <c r="D269" s="462"/>
      <c r="E269" s="462"/>
      <c r="F269" s="462"/>
      <c r="G269" s="462"/>
      <c r="H269" s="462"/>
      <c r="I269" s="462"/>
      <c r="J269" s="462"/>
    </row>
    <row r="270" spans="1:10" ht="15">
      <c r="A270" s="462"/>
      <c r="B270" s="462"/>
      <c r="C270" s="462"/>
      <c r="D270" s="462"/>
      <c r="E270" s="462"/>
      <c r="F270" s="462"/>
      <c r="G270" s="462"/>
      <c r="H270" s="462"/>
      <c r="I270" s="462"/>
      <c r="J270" s="462"/>
    </row>
    <row r="271" spans="1:10" ht="15">
      <c r="A271" s="462"/>
      <c r="B271" s="462"/>
      <c r="C271" s="462"/>
      <c r="D271" s="462"/>
      <c r="E271" s="462"/>
      <c r="F271" s="462"/>
      <c r="G271" s="462"/>
      <c r="H271" s="462"/>
      <c r="I271" s="462"/>
      <c r="J271" s="462"/>
    </row>
    <row r="272" spans="1:10" ht="15">
      <c r="A272" s="462"/>
      <c r="B272" s="462"/>
      <c r="C272" s="462"/>
      <c r="D272" s="462"/>
      <c r="E272" s="462"/>
      <c r="F272" s="462"/>
      <c r="G272" s="462"/>
      <c r="H272" s="462"/>
      <c r="I272" s="462"/>
      <c r="J272" s="462"/>
    </row>
    <row r="273" spans="1:10" ht="15">
      <c r="A273" s="462"/>
      <c r="B273" s="462"/>
      <c r="C273" s="462"/>
      <c r="D273" s="462"/>
      <c r="E273" s="462"/>
      <c r="F273" s="462"/>
      <c r="G273" s="462"/>
      <c r="H273" s="462"/>
      <c r="I273" s="462"/>
      <c r="J273" s="462"/>
    </row>
    <row r="274" spans="1:10" ht="15">
      <c r="A274" s="462"/>
      <c r="B274" s="462"/>
      <c r="C274" s="462"/>
      <c r="D274" s="462"/>
      <c r="E274" s="462"/>
      <c r="F274" s="462"/>
      <c r="G274" s="462"/>
      <c r="H274" s="462"/>
      <c r="I274" s="462"/>
      <c r="J274" s="462"/>
    </row>
    <row r="275" spans="1:10" ht="15">
      <c r="A275" s="462"/>
      <c r="B275" s="462"/>
      <c r="C275" s="462"/>
      <c r="D275" s="462"/>
      <c r="E275" s="462"/>
      <c r="F275" s="462"/>
      <c r="G275" s="462"/>
      <c r="H275" s="462"/>
      <c r="I275" s="462"/>
      <c r="J275" s="462"/>
    </row>
    <row r="276" spans="1:10" ht="15">
      <c r="A276" s="462"/>
      <c r="B276" s="462"/>
      <c r="C276" s="462"/>
      <c r="D276" s="462"/>
      <c r="E276" s="462"/>
      <c r="F276" s="462"/>
      <c r="G276" s="462"/>
      <c r="H276" s="462"/>
      <c r="I276" s="462"/>
      <c r="J276" s="462"/>
    </row>
    <row r="277" spans="1:10" ht="15">
      <c r="A277" s="462"/>
      <c r="B277" s="462"/>
      <c r="C277" s="462"/>
      <c r="D277" s="462"/>
      <c r="E277" s="462"/>
      <c r="F277" s="462"/>
      <c r="G277" s="462"/>
      <c r="H277" s="462"/>
      <c r="I277" s="462"/>
      <c r="J277" s="462"/>
    </row>
    <row r="278" spans="1:10" ht="15">
      <c r="A278" s="462"/>
      <c r="B278" s="462"/>
      <c r="C278" s="462"/>
      <c r="D278" s="462"/>
      <c r="E278" s="462"/>
      <c r="F278" s="462"/>
      <c r="G278" s="462"/>
      <c r="H278" s="462"/>
      <c r="I278" s="462"/>
      <c r="J278" s="462"/>
    </row>
    <row r="279" spans="1:10" ht="15">
      <c r="A279" s="462"/>
      <c r="B279" s="462"/>
      <c r="C279" s="462"/>
      <c r="D279" s="462"/>
      <c r="E279" s="462"/>
      <c r="F279" s="462"/>
      <c r="G279" s="462"/>
      <c r="H279" s="462"/>
      <c r="I279" s="462"/>
      <c r="J279" s="462"/>
    </row>
    <row r="280" spans="1:10" ht="15">
      <c r="A280" s="462"/>
      <c r="B280" s="462"/>
      <c r="C280" s="462"/>
      <c r="D280" s="462"/>
      <c r="E280" s="462"/>
      <c r="F280" s="462"/>
      <c r="G280" s="462"/>
      <c r="H280" s="462"/>
      <c r="I280" s="462"/>
      <c r="J280" s="462"/>
    </row>
    <row r="281" spans="1:10" ht="15">
      <c r="A281" s="462"/>
      <c r="B281" s="462"/>
      <c r="C281" s="462"/>
      <c r="D281" s="462"/>
      <c r="E281" s="462"/>
      <c r="F281" s="462"/>
      <c r="G281" s="462"/>
      <c r="H281" s="462"/>
      <c r="I281" s="462"/>
      <c r="J281" s="462"/>
    </row>
    <row r="282" spans="1:10" ht="15">
      <c r="A282" s="462"/>
      <c r="B282" s="462"/>
      <c r="C282" s="462"/>
      <c r="D282" s="462"/>
      <c r="E282" s="462"/>
      <c r="F282" s="462"/>
      <c r="G282" s="462"/>
      <c r="H282" s="462"/>
      <c r="I282" s="462"/>
      <c r="J282" s="462"/>
    </row>
    <row r="283" spans="1:10" ht="15">
      <c r="A283" s="462"/>
      <c r="B283" s="462"/>
      <c r="C283" s="462"/>
      <c r="D283" s="462"/>
      <c r="E283" s="462"/>
      <c r="F283" s="462"/>
      <c r="G283" s="462"/>
      <c r="H283" s="462"/>
      <c r="I283" s="462"/>
      <c r="J283" s="462"/>
    </row>
    <row r="284" spans="1:10" ht="15">
      <c r="A284" s="462"/>
      <c r="B284" s="462"/>
      <c r="C284" s="462"/>
      <c r="D284" s="462"/>
      <c r="E284" s="462"/>
      <c r="F284" s="462"/>
      <c r="G284" s="462"/>
      <c r="H284" s="462"/>
      <c r="I284" s="462"/>
      <c r="J284" s="462"/>
    </row>
    <row r="285" spans="1:10" ht="15">
      <c r="A285" s="462"/>
      <c r="B285" s="462"/>
      <c r="C285" s="462"/>
      <c r="D285" s="462"/>
      <c r="E285" s="462"/>
      <c r="F285" s="462"/>
      <c r="G285" s="462"/>
      <c r="H285" s="462"/>
      <c r="I285" s="462"/>
      <c r="J285" s="462"/>
    </row>
    <row r="286" spans="1:10" ht="15">
      <c r="A286" s="462"/>
      <c r="B286" s="462"/>
      <c r="C286" s="462"/>
      <c r="D286" s="462"/>
      <c r="E286" s="462"/>
      <c r="F286" s="462"/>
      <c r="G286" s="462"/>
      <c r="H286" s="462"/>
      <c r="I286" s="462"/>
      <c r="J286" s="462"/>
    </row>
    <row r="287" spans="1:10" ht="15">
      <c r="A287" s="462"/>
      <c r="B287" s="462"/>
      <c r="C287" s="462"/>
      <c r="D287" s="462"/>
      <c r="E287" s="462"/>
      <c r="F287" s="462"/>
      <c r="G287" s="462"/>
      <c r="H287" s="462"/>
      <c r="I287" s="462"/>
      <c r="J287" s="462"/>
    </row>
    <row r="288" spans="1:10" ht="15">
      <c r="A288" s="462"/>
      <c r="B288" s="462"/>
      <c r="C288" s="462"/>
      <c r="D288" s="462"/>
      <c r="E288" s="462"/>
      <c r="F288" s="462"/>
      <c r="G288" s="462"/>
      <c r="H288" s="462"/>
      <c r="I288" s="462"/>
      <c r="J288" s="462"/>
    </row>
    <row r="289" spans="1:10" ht="15">
      <c r="A289" s="462"/>
      <c r="B289" s="462"/>
      <c r="C289" s="462"/>
      <c r="D289" s="462"/>
      <c r="E289" s="462"/>
      <c r="F289" s="462"/>
      <c r="G289" s="462"/>
      <c r="H289" s="462"/>
      <c r="I289" s="462"/>
      <c r="J289" s="462"/>
    </row>
    <row r="290" spans="1:10" ht="15">
      <c r="A290" s="462"/>
      <c r="B290" s="462"/>
      <c r="C290" s="462"/>
      <c r="D290" s="462"/>
      <c r="E290" s="462"/>
      <c r="F290" s="462"/>
      <c r="G290" s="462"/>
      <c r="H290" s="462"/>
      <c r="I290" s="462"/>
      <c r="J290" s="462"/>
    </row>
    <row r="291" spans="1:10" ht="15">
      <c r="A291" s="462"/>
      <c r="B291" s="462"/>
      <c r="C291" s="462"/>
      <c r="D291" s="462"/>
      <c r="E291" s="462"/>
      <c r="F291" s="462"/>
      <c r="G291" s="462"/>
      <c r="H291" s="462"/>
      <c r="I291" s="462"/>
      <c r="J291" s="462"/>
    </row>
    <row r="292" spans="1:10" ht="15">
      <c r="A292" s="462"/>
      <c r="B292" s="462"/>
      <c r="C292" s="462"/>
      <c r="D292" s="462"/>
      <c r="E292" s="462"/>
      <c r="F292" s="462"/>
      <c r="G292" s="462"/>
      <c r="H292" s="462"/>
      <c r="I292" s="462"/>
      <c r="J292" s="462"/>
    </row>
    <row r="293" spans="1:10" ht="15">
      <c r="A293" s="462"/>
      <c r="B293" s="462"/>
      <c r="C293" s="462"/>
      <c r="D293" s="462"/>
      <c r="E293" s="462"/>
      <c r="F293" s="462"/>
      <c r="G293" s="462"/>
      <c r="H293" s="462"/>
      <c r="I293" s="462"/>
      <c r="J293" s="462"/>
    </row>
    <row r="294" spans="1:10" ht="15">
      <c r="A294" s="462"/>
      <c r="B294" s="462"/>
      <c r="C294" s="462"/>
      <c r="D294" s="462"/>
      <c r="E294" s="462"/>
      <c r="F294" s="462"/>
      <c r="G294" s="462"/>
      <c r="H294" s="462"/>
      <c r="I294" s="462"/>
      <c r="J294" s="462"/>
    </row>
    <row r="295" spans="1:10" ht="15">
      <c r="A295" s="462"/>
      <c r="B295" s="462"/>
      <c r="C295" s="462"/>
      <c r="D295" s="462"/>
      <c r="E295" s="462"/>
      <c r="F295" s="462"/>
      <c r="G295" s="462"/>
      <c r="H295" s="462"/>
      <c r="I295" s="462"/>
      <c r="J295" s="462"/>
    </row>
    <row r="296" spans="1:10" ht="15">
      <c r="A296" s="462"/>
      <c r="B296" s="462"/>
      <c r="C296" s="462"/>
      <c r="D296" s="462"/>
      <c r="E296" s="462"/>
      <c r="F296" s="462"/>
      <c r="G296" s="462"/>
      <c r="H296" s="462"/>
      <c r="I296" s="462"/>
      <c r="J296" s="462"/>
    </row>
    <row r="297" spans="1:10" ht="15">
      <c r="A297" s="462"/>
      <c r="B297" s="462"/>
      <c r="C297" s="462"/>
      <c r="D297" s="462"/>
      <c r="E297" s="462"/>
      <c r="F297" s="462"/>
      <c r="G297" s="462"/>
      <c r="H297" s="462"/>
      <c r="I297" s="462"/>
      <c r="J297" s="462"/>
    </row>
    <row r="298" spans="1:10" ht="15">
      <c r="A298" s="462"/>
      <c r="B298" s="462"/>
      <c r="C298" s="462"/>
      <c r="D298" s="462"/>
      <c r="E298" s="462"/>
      <c r="F298" s="462"/>
      <c r="G298" s="462"/>
      <c r="H298" s="462"/>
      <c r="I298" s="462"/>
      <c r="J298" s="462"/>
    </row>
    <row r="299" spans="1:10" ht="15">
      <c r="A299" s="462"/>
      <c r="B299" s="462"/>
      <c r="C299" s="462"/>
      <c r="D299" s="462"/>
      <c r="E299" s="462"/>
      <c r="F299" s="462"/>
      <c r="G299" s="462"/>
      <c r="H299" s="462"/>
      <c r="I299" s="462"/>
      <c r="J299" s="462"/>
    </row>
    <row r="300" spans="1:10" ht="15">
      <c r="A300" s="462"/>
      <c r="B300" s="462"/>
      <c r="C300" s="462"/>
      <c r="D300" s="462"/>
      <c r="E300" s="462"/>
      <c r="F300" s="462"/>
      <c r="G300" s="462"/>
      <c r="H300" s="462"/>
      <c r="I300" s="462"/>
      <c r="J300" s="462"/>
    </row>
  </sheetData>
  <sheetProtection password="A20C" sheet="1" objects="1" scenarios="1"/>
  <hyperlinks>
    <hyperlink ref="A1:J1" location="Transportation!B3" display="Transportation"/>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wksHiddenListsH">
    <tabColor rgb="FFFF0000"/>
  </sheetPr>
  <dimension ref="A2:BZ56"/>
  <sheetViews>
    <sheetView zoomScalePageLayoutView="0" workbookViewId="0" topLeftCell="A1">
      <selection activeCell="A8" sqref="A8"/>
    </sheetView>
  </sheetViews>
  <sheetFormatPr defaultColWidth="9.140625" defaultRowHeight="15"/>
  <cols>
    <col min="1" max="1" width="27.140625" style="0" customWidth="1"/>
    <col min="2" max="2" width="10.57421875" style="0" bestFit="1" customWidth="1"/>
    <col min="3" max="3" width="13.00390625" style="0" customWidth="1"/>
    <col min="7" max="7" width="9.8515625" style="0" bestFit="1" customWidth="1"/>
    <col min="10" max="10" width="9.8515625" style="0" bestFit="1" customWidth="1"/>
    <col min="12" max="12" width="11.140625" style="0" customWidth="1"/>
    <col min="14" max="14" width="10.140625" style="0" bestFit="1" customWidth="1"/>
    <col min="15" max="15" width="13.421875" style="0" bestFit="1" customWidth="1"/>
    <col min="16" max="16" width="14.00390625" style="0" bestFit="1" customWidth="1"/>
    <col min="17" max="17" width="11.421875" style="0" bestFit="1" customWidth="1"/>
  </cols>
  <sheetData>
    <row r="2" spans="2:17" ht="15">
      <c r="B2" t="s">
        <v>15</v>
      </c>
      <c r="C2" t="s">
        <v>16</v>
      </c>
      <c r="D2" t="s">
        <v>17</v>
      </c>
      <c r="E2" t="s">
        <v>18</v>
      </c>
      <c r="F2" t="s">
        <v>22</v>
      </c>
      <c r="G2" t="s">
        <v>23</v>
      </c>
      <c r="H2" t="s">
        <v>19</v>
      </c>
      <c r="I2" t="s">
        <v>24</v>
      </c>
      <c r="J2" t="s">
        <v>25</v>
      </c>
      <c r="K2" t="s">
        <v>20</v>
      </c>
      <c r="L2" t="s">
        <v>21</v>
      </c>
      <c r="M2" t="s">
        <v>26</v>
      </c>
      <c r="N2" t="s">
        <v>27</v>
      </c>
      <c r="O2" t="s">
        <v>28</v>
      </c>
      <c r="P2" t="s">
        <v>29</v>
      </c>
      <c r="Q2" t="s">
        <v>30</v>
      </c>
    </row>
    <row r="3" spans="2:12" ht="15">
      <c r="B3" s="19"/>
      <c r="C3" s="19"/>
      <c r="D3" s="19"/>
      <c r="E3" s="19"/>
      <c r="F3" s="19"/>
      <c r="G3" s="19"/>
      <c r="H3" s="19"/>
      <c r="I3" s="19"/>
      <c r="J3" s="19"/>
      <c r="K3" s="19"/>
      <c r="L3" s="19"/>
    </row>
    <row r="4" spans="1:17" ht="15">
      <c r="A4" t="s">
        <v>49</v>
      </c>
      <c r="B4" s="480">
        <v>0.51</v>
      </c>
      <c r="C4" s="480">
        <v>0.58</v>
      </c>
      <c r="D4" s="480">
        <v>5.25</v>
      </c>
      <c r="E4" s="480">
        <v>0</v>
      </c>
      <c r="F4" s="480">
        <v>0</v>
      </c>
      <c r="G4" s="480">
        <v>0</v>
      </c>
      <c r="H4" s="480">
        <v>0.85</v>
      </c>
      <c r="I4" s="480">
        <v>0</v>
      </c>
      <c r="J4" s="480">
        <v>0</v>
      </c>
      <c r="K4" s="480">
        <v>0.16</v>
      </c>
      <c r="L4" s="480">
        <v>460.36</v>
      </c>
      <c r="M4" s="480">
        <v>0.01</v>
      </c>
      <c r="N4" s="480">
        <v>0</v>
      </c>
      <c r="O4" s="480">
        <v>0</v>
      </c>
      <c r="P4" s="480">
        <v>0.01</v>
      </c>
      <c r="Q4" s="480">
        <v>0.33</v>
      </c>
    </row>
    <row r="5" spans="1:17" ht="15">
      <c r="A5" t="s">
        <v>50</v>
      </c>
      <c r="B5" s="481">
        <v>0.44</v>
      </c>
      <c r="C5" s="481">
        <v>0.49</v>
      </c>
      <c r="D5" s="481">
        <v>4.46</v>
      </c>
      <c r="E5" s="481">
        <v>0</v>
      </c>
      <c r="F5" s="481">
        <v>0</v>
      </c>
      <c r="G5" s="481">
        <v>0</v>
      </c>
      <c r="H5" s="481">
        <v>0.72</v>
      </c>
      <c r="I5" s="481">
        <v>0</v>
      </c>
      <c r="J5" s="481">
        <v>0</v>
      </c>
      <c r="K5" s="481">
        <v>0.14</v>
      </c>
      <c r="L5" s="481">
        <v>390.63</v>
      </c>
      <c r="M5" s="462">
        <v>0.01</v>
      </c>
      <c r="N5" s="462">
        <v>0</v>
      </c>
      <c r="O5" s="462">
        <v>0</v>
      </c>
      <c r="P5" s="462">
        <v>0.01</v>
      </c>
      <c r="Q5" s="462">
        <v>0.28</v>
      </c>
    </row>
    <row r="6" spans="2:12" ht="15">
      <c r="B6" s="19"/>
      <c r="C6" s="19"/>
      <c r="D6" s="19"/>
      <c r="E6" s="19"/>
      <c r="F6" s="19"/>
      <c r="G6" s="19"/>
      <c r="H6" s="19"/>
      <c r="I6" s="19"/>
      <c r="J6" s="19"/>
      <c r="K6" s="19"/>
      <c r="L6" s="19"/>
    </row>
    <row r="7" spans="1:17" ht="15">
      <c r="A7" t="s">
        <v>51</v>
      </c>
      <c r="B7" s="481"/>
      <c r="C7" s="481"/>
      <c r="D7" s="481"/>
      <c r="E7" s="481"/>
      <c r="F7" s="481"/>
      <c r="G7" s="481"/>
      <c r="H7" s="481"/>
      <c r="I7" s="481"/>
      <c r="J7" s="481"/>
      <c r="K7" s="481"/>
      <c r="L7" s="481"/>
      <c r="M7" s="462"/>
      <c r="N7" s="462"/>
      <c r="O7" s="462"/>
      <c r="P7" s="462"/>
      <c r="Q7" s="462"/>
    </row>
    <row r="8" spans="1:17" ht="15">
      <c r="A8" t="s">
        <v>52</v>
      </c>
      <c r="B8" s="481"/>
      <c r="C8" s="481"/>
      <c r="D8" s="481"/>
      <c r="E8" s="481"/>
      <c r="F8" s="481"/>
      <c r="G8" s="481"/>
      <c r="H8" s="481"/>
      <c r="I8" s="481"/>
      <c r="J8" s="481"/>
      <c r="K8" s="481"/>
      <c r="L8" s="481"/>
      <c r="M8" s="462"/>
      <c r="N8" s="462"/>
      <c r="O8" s="462"/>
      <c r="P8" s="462"/>
      <c r="Q8" s="462"/>
    </row>
    <row r="9" spans="2:12" ht="15">
      <c r="B9" s="19"/>
      <c r="C9" s="19"/>
      <c r="D9" s="19"/>
      <c r="E9" s="19"/>
      <c r="F9" s="19"/>
      <c r="G9" s="19"/>
      <c r="H9" s="19"/>
      <c r="I9" s="19"/>
      <c r="J9" s="19"/>
      <c r="K9" s="19"/>
      <c r="L9" s="19"/>
    </row>
    <row r="10" spans="2:12" ht="15">
      <c r="B10" s="19" t="s">
        <v>21</v>
      </c>
      <c r="C10" s="19"/>
      <c r="D10" s="19"/>
      <c r="E10" s="19"/>
      <c r="F10" s="19"/>
      <c r="G10" s="19"/>
      <c r="H10" s="19"/>
      <c r="I10" s="19"/>
      <c r="J10" s="19"/>
      <c r="K10" s="19"/>
      <c r="L10" s="19"/>
    </row>
    <row r="11" spans="1:2" ht="15">
      <c r="A11" t="s">
        <v>122</v>
      </c>
      <c r="B11" s="462">
        <v>0</v>
      </c>
    </row>
    <row r="12" spans="1:2" ht="15">
      <c r="A12" t="s">
        <v>123</v>
      </c>
      <c r="B12" s="462">
        <v>0.25</v>
      </c>
    </row>
    <row r="13" ht="15">
      <c r="B13" s="462"/>
    </row>
    <row r="14" spans="1:2" ht="15">
      <c r="A14" t="s">
        <v>124</v>
      </c>
      <c r="B14" s="462">
        <v>0</v>
      </c>
    </row>
    <row r="15" spans="1:2" ht="15">
      <c r="A15" t="s">
        <v>125</v>
      </c>
      <c r="B15" s="462">
        <v>0.25</v>
      </c>
    </row>
    <row r="16" ht="15">
      <c r="B16" s="462"/>
    </row>
    <row r="17" spans="1:2" ht="15">
      <c r="A17" t="s">
        <v>126</v>
      </c>
      <c r="B17" s="462"/>
    </row>
    <row r="18" spans="1:2" ht="15">
      <c r="A18" t="s">
        <v>128</v>
      </c>
      <c r="B18" s="462"/>
    </row>
    <row r="19" ht="15">
      <c r="B19" s="462"/>
    </row>
    <row r="20" spans="1:2" ht="15">
      <c r="A20" t="s">
        <v>129</v>
      </c>
      <c r="B20" s="462"/>
    </row>
    <row r="21" spans="1:2" ht="15">
      <c r="A21" t="s">
        <v>127</v>
      </c>
      <c r="B21" s="462"/>
    </row>
    <row r="22" ht="15">
      <c r="B22" s="462"/>
    </row>
    <row r="23" spans="1:2" ht="15">
      <c r="A23" t="s">
        <v>130</v>
      </c>
      <c r="B23" s="462">
        <v>0</v>
      </c>
    </row>
    <row r="24" spans="1:2" ht="15">
      <c r="A24" t="s">
        <v>131</v>
      </c>
      <c r="B24" s="462">
        <v>0</v>
      </c>
    </row>
    <row r="25" spans="1:2" ht="15">
      <c r="A25" t="s">
        <v>132</v>
      </c>
      <c r="B25" s="462">
        <v>0</v>
      </c>
    </row>
    <row r="26" ht="15">
      <c r="B26" s="462"/>
    </row>
    <row r="27" spans="1:2" ht="15">
      <c r="A27" t="s">
        <v>133</v>
      </c>
      <c r="B27" s="462"/>
    </row>
    <row r="28" spans="1:2" ht="15">
      <c r="A28" t="s">
        <v>134</v>
      </c>
      <c r="B28" s="462"/>
    </row>
    <row r="29" spans="1:2" ht="15">
      <c r="A29" t="s">
        <v>135</v>
      </c>
      <c r="B29" s="462"/>
    </row>
    <row r="30" ht="15">
      <c r="B30" s="462"/>
    </row>
    <row r="31" spans="1:2" ht="15">
      <c r="A31" t="s">
        <v>53</v>
      </c>
      <c r="B31" s="462" t="b">
        <v>1</v>
      </c>
    </row>
    <row r="32" spans="1:2" ht="15">
      <c r="A32" t="s">
        <v>72</v>
      </c>
      <c r="B32" s="462">
        <v>31</v>
      </c>
    </row>
    <row r="33" spans="1:2" ht="15">
      <c r="A33" t="s">
        <v>73</v>
      </c>
      <c r="B33" s="462">
        <v>1</v>
      </c>
    </row>
    <row r="34" spans="1:2" ht="15">
      <c r="A34" t="s">
        <v>74</v>
      </c>
      <c r="B34" s="462"/>
    </row>
    <row r="35" spans="1:2" ht="15">
      <c r="A35" t="s">
        <v>75</v>
      </c>
      <c r="B35" s="462"/>
    </row>
    <row r="36" spans="1:2" ht="15">
      <c r="A36" t="s">
        <v>121</v>
      </c>
      <c r="B36" s="462" t="b">
        <v>0</v>
      </c>
    </row>
    <row r="37" spans="1:2" ht="15">
      <c r="A37" t="s">
        <v>137</v>
      </c>
      <c r="B37" s="462" t="b">
        <v>0</v>
      </c>
    </row>
    <row r="38" spans="1:2" ht="15">
      <c r="A38" t="s">
        <v>142</v>
      </c>
      <c r="B38" s="462">
        <v>0.907441016333938</v>
      </c>
    </row>
    <row r="39" spans="1:2" ht="15">
      <c r="A39" t="s">
        <v>143</v>
      </c>
      <c r="B39" s="462">
        <v>2204</v>
      </c>
    </row>
    <row r="40" ht="15">
      <c r="B40" s="462"/>
    </row>
    <row r="41" spans="1:2" ht="15">
      <c r="A41" t="s">
        <v>236</v>
      </c>
      <c r="B41" s="482">
        <v>2011</v>
      </c>
    </row>
    <row r="42" spans="1:2" ht="15">
      <c r="A42" t="s">
        <v>237</v>
      </c>
      <c r="B42" s="482">
        <v>2012</v>
      </c>
    </row>
    <row r="44" spans="1:78" ht="15">
      <c r="A44" t="s">
        <v>242</v>
      </c>
      <c r="B44" t="s">
        <v>249</v>
      </c>
      <c r="C44" t="s">
        <v>250</v>
      </c>
      <c r="D44" t="s">
        <v>251</v>
      </c>
      <c r="E44" t="s">
        <v>252</v>
      </c>
      <c r="F44" t="s">
        <v>253</v>
      </c>
      <c r="G44" t="s">
        <v>254</v>
      </c>
      <c r="H44" t="s">
        <v>195</v>
      </c>
      <c r="I44" t="s">
        <v>255</v>
      </c>
      <c r="J44" t="s">
        <v>256</v>
      </c>
      <c r="K44" t="s">
        <v>257</v>
      </c>
      <c r="L44" t="s">
        <v>258</v>
      </c>
      <c r="M44" t="s">
        <v>259</v>
      </c>
      <c r="N44" t="s">
        <v>260</v>
      </c>
      <c r="O44" t="s">
        <v>261</v>
      </c>
      <c r="P44" t="s">
        <v>262</v>
      </c>
      <c r="Q44" t="s">
        <v>178</v>
      </c>
      <c r="R44" t="s">
        <v>176</v>
      </c>
      <c r="S44" t="s">
        <v>263</v>
      </c>
      <c r="T44" t="s">
        <v>264</v>
      </c>
      <c r="U44" t="s">
        <v>265</v>
      </c>
      <c r="V44" t="s">
        <v>266</v>
      </c>
      <c r="W44" t="s">
        <v>267</v>
      </c>
      <c r="X44" t="s">
        <v>268</v>
      </c>
      <c r="Y44" t="s">
        <v>269</v>
      </c>
      <c r="Z44" t="s">
        <v>270</v>
      </c>
      <c r="AA44" t="s">
        <v>161</v>
      </c>
      <c r="AB44" t="s">
        <v>271</v>
      </c>
      <c r="AC44" t="s">
        <v>272</v>
      </c>
      <c r="AD44" t="s">
        <v>273</v>
      </c>
      <c r="AE44" t="s">
        <v>274</v>
      </c>
      <c r="AF44" t="s">
        <v>275</v>
      </c>
      <c r="AG44" t="s">
        <v>276</v>
      </c>
      <c r="AH44" t="s">
        <v>277</v>
      </c>
      <c r="AI44" t="s">
        <v>278</v>
      </c>
      <c r="AJ44" t="s">
        <v>279</v>
      </c>
      <c r="AK44" t="s">
        <v>280</v>
      </c>
      <c r="AL44" t="s">
        <v>281</v>
      </c>
      <c r="AM44" t="s">
        <v>149</v>
      </c>
      <c r="AN44" t="s">
        <v>148</v>
      </c>
      <c r="AO44" t="s">
        <v>282</v>
      </c>
      <c r="AP44" t="s">
        <v>283</v>
      </c>
      <c r="AQ44" t="s">
        <v>284</v>
      </c>
      <c r="AR44" t="s">
        <v>144</v>
      </c>
      <c r="AS44" t="s">
        <v>285</v>
      </c>
      <c r="AT44" t="s">
        <v>285</v>
      </c>
      <c r="AU44" t="s">
        <v>285</v>
      </c>
      <c r="AV44" t="s">
        <v>285</v>
      </c>
      <c r="AW44" t="s">
        <v>285</v>
      </c>
      <c r="AX44" t="e">
        <v>#N/A</v>
      </c>
      <c r="AY44" t="e">
        <v>#N/A</v>
      </c>
      <c r="AZ44" t="e">
        <v>#N/A</v>
      </c>
      <c r="BA44" t="e">
        <v>#N/A</v>
      </c>
      <c r="BB44" t="e">
        <v>#N/A</v>
      </c>
      <c r="BC44" t="e">
        <v>#N/A</v>
      </c>
      <c r="BD44" t="e">
        <v>#N/A</v>
      </c>
      <c r="BE44" t="e">
        <v>#N/A</v>
      </c>
      <c r="BF44" t="e">
        <v>#N/A</v>
      </c>
      <c r="BG44" t="e">
        <v>#N/A</v>
      </c>
      <c r="BH44" t="e">
        <v>#N/A</v>
      </c>
      <c r="BI44" t="e">
        <v>#N/A</v>
      </c>
      <c r="BJ44" t="e">
        <v>#N/A</v>
      </c>
      <c r="BK44" t="e">
        <v>#N/A</v>
      </c>
      <c r="BL44" t="e">
        <v>#N/A</v>
      </c>
      <c r="BM44" t="e">
        <v>#N/A</v>
      </c>
      <c r="BN44" t="e">
        <v>#N/A</v>
      </c>
      <c r="BO44" t="e">
        <v>#N/A</v>
      </c>
      <c r="BP44" t="e">
        <v>#N/A</v>
      </c>
      <c r="BQ44" t="e">
        <v>#N/A</v>
      </c>
      <c r="BR44" t="e">
        <v>#N/A</v>
      </c>
      <c r="BS44" t="e">
        <v>#N/A</v>
      </c>
      <c r="BT44" t="e">
        <v>#N/A</v>
      </c>
      <c r="BU44" t="e">
        <v>#N/A</v>
      </c>
      <c r="BV44" t="e">
        <v>#N/A</v>
      </c>
      <c r="BW44" t="e">
        <v>#N/A</v>
      </c>
      <c r="BX44" t="e">
        <v>#N/A</v>
      </c>
      <c r="BY44" t="e">
        <v>#N/A</v>
      </c>
      <c r="BZ44" t="e">
        <v>#N/A</v>
      </c>
    </row>
    <row r="45" spans="1:78" ht="15">
      <c r="A45" t="s">
        <v>243</v>
      </c>
      <c r="B45" s="483">
        <v>0</v>
      </c>
      <c r="C45" s="483">
        <v>0</v>
      </c>
      <c r="D45" s="483">
        <v>0</v>
      </c>
      <c r="E45" s="483">
        <v>0</v>
      </c>
      <c r="F45" s="483">
        <v>0</v>
      </c>
      <c r="G45" s="483">
        <v>0</v>
      </c>
      <c r="H45" s="483">
        <v>0</v>
      </c>
      <c r="I45" s="483">
        <v>42.2</v>
      </c>
      <c r="J45" s="483">
        <v>0</v>
      </c>
      <c r="K45" s="483">
        <v>0</v>
      </c>
      <c r="L45" s="483">
        <v>0</v>
      </c>
      <c r="M45" s="483">
        <v>0</v>
      </c>
      <c r="N45" s="483">
        <v>0</v>
      </c>
      <c r="O45" s="483">
        <v>0</v>
      </c>
      <c r="P45" s="483">
        <v>0</v>
      </c>
      <c r="Q45" s="483">
        <v>0</v>
      </c>
      <c r="R45" s="483">
        <v>0</v>
      </c>
      <c r="S45" s="483">
        <v>0</v>
      </c>
      <c r="T45" s="483">
        <v>0</v>
      </c>
      <c r="U45" s="483">
        <v>0</v>
      </c>
      <c r="V45" s="483">
        <v>0</v>
      </c>
      <c r="W45" s="483">
        <v>0</v>
      </c>
      <c r="X45" s="483">
        <v>0</v>
      </c>
      <c r="Y45" s="483">
        <v>0</v>
      </c>
      <c r="Z45" s="483">
        <v>0</v>
      </c>
      <c r="AA45" s="483">
        <v>0</v>
      </c>
      <c r="AB45" s="483">
        <v>0</v>
      </c>
      <c r="AC45" s="483">
        <v>0</v>
      </c>
      <c r="AD45" s="483">
        <v>0</v>
      </c>
      <c r="AE45" s="483">
        <v>0</v>
      </c>
      <c r="AF45" s="483">
        <v>0</v>
      </c>
      <c r="AG45" s="483">
        <v>0</v>
      </c>
      <c r="AH45" s="483">
        <v>0</v>
      </c>
      <c r="AI45" s="483">
        <v>0</v>
      </c>
      <c r="AJ45" s="483">
        <v>0</v>
      </c>
      <c r="AK45" s="483">
        <v>0</v>
      </c>
      <c r="AL45" s="483">
        <v>0</v>
      </c>
      <c r="AM45" s="483">
        <v>0</v>
      </c>
      <c r="AN45" s="483">
        <v>0</v>
      </c>
      <c r="AO45" s="483">
        <v>0</v>
      </c>
      <c r="AP45" s="483">
        <v>0</v>
      </c>
      <c r="AQ45" s="483">
        <v>0</v>
      </c>
      <c r="AR45" s="483">
        <v>0</v>
      </c>
      <c r="AS45" s="483">
        <v>0</v>
      </c>
      <c r="AT45" s="483">
        <v>0</v>
      </c>
      <c r="AU45" s="483">
        <v>0</v>
      </c>
      <c r="AV45" s="483">
        <v>0</v>
      </c>
      <c r="AW45" s="483">
        <v>0</v>
      </c>
      <c r="AX45" s="42" t="e">
        <v>#N/A</v>
      </c>
      <c r="AY45" s="42" t="e">
        <v>#N/A</v>
      </c>
      <c r="AZ45" s="42" t="e">
        <v>#N/A</v>
      </c>
      <c r="BA45" s="42" t="e">
        <v>#N/A</v>
      </c>
      <c r="BB45" s="42" t="e">
        <v>#N/A</v>
      </c>
      <c r="BC45" s="42" t="e">
        <v>#N/A</v>
      </c>
      <c r="BD45" s="42" t="e">
        <v>#N/A</v>
      </c>
      <c r="BE45" s="42" t="e">
        <v>#N/A</v>
      </c>
      <c r="BF45" s="42" t="e">
        <v>#N/A</v>
      </c>
      <c r="BG45" s="42" t="e">
        <v>#N/A</v>
      </c>
      <c r="BH45" s="42" t="e">
        <v>#N/A</v>
      </c>
      <c r="BI45" s="42" t="e">
        <v>#N/A</v>
      </c>
      <c r="BJ45" s="42" t="e">
        <v>#N/A</v>
      </c>
      <c r="BK45" s="42" t="e">
        <v>#N/A</v>
      </c>
      <c r="BL45" s="42" t="e">
        <v>#N/A</v>
      </c>
      <c r="BM45" s="42" t="e">
        <v>#N/A</v>
      </c>
      <c r="BN45" s="42" t="e">
        <v>#N/A</v>
      </c>
      <c r="BO45" s="42" t="e">
        <v>#N/A</v>
      </c>
      <c r="BP45" s="42" t="e">
        <v>#N/A</v>
      </c>
      <c r="BQ45" s="42" t="e">
        <v>#N/A</v>
      </c>
      <c r="BR45" s="42" t="e">
        <v>#N/A</v>
      </c>
      <c r="BS45" s="42" t="e">
        <v>#N/A</v>
      </c>
      <c r="BT45" s="42" t="e">
        <v>#N/A</v>
      </c>
      <c r="BU45" s="42" t="e">
        <v>#N/A</v>
      </c>
      <c r="BV45" s="42" t="e">
        <v>#N/A</v>
      </c>
      <c r="BW45" s="42" t="e">
        <v>#N/A</v>
      </c>
      <c r="BX45" s="42" t="e">
        <v>#N/A</v>
      </c>
      <c r="BY45" s="42" t="e">
        <v>#N/A</v>
      </c>
      <c r="BZ45" s="42" t="e">
        <v>#N/A</v>
      </c>
    </row>
    <row r="46" spans="1:78" ht="15">
      <c r="A46" t="s">
        <v>244</v>
      </c>
      <c r="B46" s="483"/>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3"/>
      <c r="AS46" s="483"/>
      <c r="AT46" s="483"/>
      <c r="AU46" s="483"/>
      <c r="AV46" s="483"/>
      <c r="AW46" s="483"/>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row>
    <row r="47" spans="1:2" ht="15">
      <c r="A47" t="s">
        <v>245</v>
      </c>
      <c r="B47" s="483">
        <v>0</v>
      </c>
    </row>
    <row r="48" spans="1:2" ht="15">
      <c r="A48" t="s">
        <v>246</v>
      </c>
      <c r="B48" s="483">
        <v>0</v>
      </c>
    </row>
    <row r="49" spans="1:2" ht="15">
      <c r="A49" t="s">
        <v>247</v>
      </c>
      <c r="B49" s="480"/>
    </row>
    <row r="50" spans="1:2" ht="15">
      <c r="A50" t="s">
        <v>248</v>
      </c>
      <c r="B50" s="480"/>
    </row>
    <row r="51" ht="15">
      <c r="B51" s="462"/>
    </row>
    <row r="52" spans="1:2" ht="15">
      <c r="A52" t="s">
        <v>327</v>
      </c>
      <c r="B52" s="462">
        <v>2</v>
      </c>
    </row>
    <row r="53" spans="1:2" ht="15">
      <c r="A53" t="s">
        <v>328</v>
      </c>
      <c r="B53" s="462">
        <f>B52+3</f>
        <v>5</v>
      </c>
    </row>
    <row r="54" ht="15">
      <c r="B54" s="462"/>
    </row>
    <row r="55" spans="1:2" ht="15">
      <c r="A55" t="s">
        <v>368</v>
      </c>
      <c r="B55" s="462">
        <v>2</v>
      </c>
    </row>
    <row r="56" spans="1:2" ht="15">
      <c r="A56" t="s">
        <v>369</v>
      </c>
      <c r="B56" s="462">
        <v>2</v>
      </c>
    </row>
  </sheetData>
  <sheetProtection password="A20C"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wksSettingsV">
    <tabColor theme="1" tint="0.04998999834060669"/>
  </sheetPr>
  <dimension ref="A1:AH45"/>
  <sheetViews>
    <sheetView showGridLines="0" showRowColHeaders="0" zoomScale="80" zoomScaleNormal="80" zoomScalePageLayoutView="0" workbookViewId="0" topLeftCell="A11">
      <selection activeCell="A1" sqref="A1"/>
    </sheetView>
  </sheetViews>
  <sheetFormatPr defaultColWidth="9.140625" defaultRowHeight="15"/>
  <cols>
    <col min="13" max="13" width="13.57421875" style="0" customWidth="1"/>
    <col min="14" max="14" width="18.28125" style="0" customWidth="1"/>
  </cols>
  <sheetData>
    <row r="1" spans="2:25" ht="15">
      <c r="B1" s="26"/>
      <c r="W1" s="26"/>
      <c r="X1" s="26"/>
      <c r="Y1" s="26"/>
    </row>
    <row r="3" spans="1:34" ht="26.25">
      <c r="A3" s="15"/>
      <c r="B3" s="13" t="s">
        <v>14</v>
      </c>
      <c r="C3" s="14"/>
      <c r="D3" s="16"/>
      <c r="E3" s="16"/>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6" spans="3:17" ht="19.5" thickBot="1">
      <c r="C6" s="602" t="s">
        <v>1</v>
      </c>
      <c r="D6" s="602"/>
      <c r="E6" s="602"/>
      <c r="F6" s="602"/>
      <c r="N6" s="604" t="s">
        <v>39</v>
      </c>
      <c r="O6" s="604"/>
      <c r="P6" s="604"/>
      <c r="Q6" s="604"/>
    </row>
    <row r="7" spans="14:26" ht="15">
      <c r="N7" s="462" t="s">
        <v>737</v>
      </c>
      <c r="O7" s="462"/>
      <c r="P7" s="462"/>
      <c r="Q7" s="462"/>
      <c r="R7" s="462"/>
      <c r="S7" s="462"/>
      <c r="T7" s="462"/>
      <c r="U7" s="462"/>
      <c r="V7" s="462"/>
      <c r="W7" s="462"/>
      <c r="X7" s="462"/>
      <c r="Y7" s="462"/>
      <c r="Z7" s="462"/>
    </row>
    <row r="8" ht="15">
      <c r="C8" t="s">
        <v>2</v>
      </c>
    </row>
    <row r="9" ht="15">
      <c r="C9" t="s">
        <v>569</v>
      </c>
    </row>
    <row r="10" ht="15">
      <c r="D10" t="s">
        <v>32</v>
      </c>
    </row>
    <row r="11" spans="14:17" ht="19.5" thickBot="1">
      <c r="N11" s="604" t="s">
        <v>41</v>
      </c>
      <c r="O11" s="604"/>
      <c r="P11" s="604"/>
      <c r="Q11" s="604"/>
    </row>
    <row r="12" spans="14:26" ht="15">
      <c r="N12" s="463">
        <v>40499.587222222224</v>
      </c>
      <c r="O12" s="462"/>
      <c r="P12" s="462"/>
      <c r="Q12" s="462"/>
      <c r="R12" s="462"/>
      <c r="S12" s="462"/>
      <c r="T12" s="462"/>
      <c r="U12" s="462"/>
      <c r="V12" s="462"/>
      <c r="W12" s="462"/>
      <c r="X12" s="462"/>
      <c r="Y12" s="462"/>
      <c r="Z12" s="462"/>
    </row>
    <row r="13" spans="3:8" ht="18">
      <c r="C13" s="602" t="s">
        <v>3</v>
      </c>
      <c r="D13" s="602"/>
      <c r="E13" s="602"/>
      <c r="F13" s="602"/>
      <c r="G13" s="603"/>
      <c r="H13" s="603"/>
    </row>
    <row r="14" spans="13:17" ht="19.5" thickBot="1">
      <c r="M14" s="22"/>
      <c r="N14" s="606" t="s">
        <v>697</v>
      </c>
      <c r="O14" s="606"/>
      <c r="P14" s="606"/>
      <c r="Q14" s="606"/>
    </row>
    <row r="15" spans="3:26" ht="15">
      <c r="C15" t="s">
        <v>33</v>
      </c>
      <c r="N15" s="462" t="s">
        <v>738</v>
      </c>
      <c r="O15" s="462"/>
      <c r="P15" s="462"/>
      <c r="Q15" s="462"/>
      <c r="R15" s="462"/>
      <c r="S15" s="462"/>
      <c r="T15" s="462"/>
      <c r="U15" s="462"/>
      <c r="V15" s="462"/>
      <c r="W15" s="462"/>
      <c r="X15" s="462"/>
      <c r="Y15" s="462"/>
      <c r="Z15" s="462"/>
    </row>
    <row r="16" ht="15">
      <c r="D16" t="s">
        <v>34</v>
      </c>
    </row>
    <row r="17" ht="15">
      <c r="C17" t="s">
        <v>568</v>
      </c>
    </row>
    <row r="20" spans="3:17" ht="19.5" thickBot="1">
      <c r="C20" s="602" t="s">
        <v>31</v>
      </c>
      <c r="D20" s="602"/>
      <c r="E20" s="602"/>
      <c r="F20" s="602"/>
      <c r="G20" s="603"/>
      <c r="H20" s="603"/>
      <c r="N20" s="604" t="s">
        <v>40</v>
      </c>
      <c r="O20" s="605"/>
      <c r="P20" s="605"/>
      <c r="Q20" s="605"/>
    </row>
    <row r="21" spans="14:26" ht="15">
      <c r="N21" s="462"/>
      <c r="O21" s="462"/>
      <c r="P21" s="462"/>
      <c r="Q21" s="462"/>
      <c r="R21" s="462"/>
      <c r="S21" s="462"/>
      <c r="T21" s="462"/>
      <c r="U21" s="462"/>
      <c r="V21" s="462"/>
      <c r="W21" s="462"/>
      <c r="X21" s="462"/>
      <c r="Y21" s="462"/>
      <c r="Z21" s="462"/>
    </row>
    <row r="22" spans="3:11" ht="15">
      <c r="C22" t="s">
        <v>35</v>
      </c>
      <c r="I22" s="23"/>
      <c r="J22" s="23"/>
      <c r="K22" s="23"/>
    </row>
    <row r="23" ht="15">
      <c r="D23" t="s">
        <v>36</v>
      </c>
    </row>
    <row r="24" ht="15">
      <c r="C24" t="s">
        <v>570</v>
      </c>
    </row>
    <row r="25" spans="4:17" ht="19.5" thickBot="1">
      <c r="D25" t="s">
        <v>37</v>
      </c>
      <c r="N25" s="604" t="s">
        <v>42</v>
      </c>
      <c r="O25" s="604"/>
      <c r="P25" s="604"/>
      <c r="Q25" s="604"/>
    </row>
    <row r="26" spans="4:26" ht="15">
      <c r="D26" t="s">
        <v>38</v>
      </c>
      <c r="N26" s="463"/>
      <c r="O26" s="462"/>
      <c r="P26" s="462"/>
      <c r="Q26" s="462"/>
      <c r="R26" s="462"/>
      <c r="S26" s="462"/>
      <c r="T26" s="462"/>
      <c r="U26" s="462"/>
      <c r="V26" s="462"/>
      <c r="W26" s="462"/>
      <c r="X26" s="462"/>
      <c r="Y26" s="462"/>
      <c r="Z26" s="462"/>
    </row>
    <row r="28" spans="14:17" ht="19.5" thickBot="1">
      <c r="N28" s="607" t="s">
        <v>698</v>
      </c>
      <c r="O28" s="606"/>
      <c r="P28" s="606"/>
      <c r="Q28" s="606"/>
    </row>
    <row r="29" spans="14:26" ht="15">
      <c r="N29" s="462"/>
      <c r="O29" s="462"/>
      <c r="P29" s="462"/>
      <c r="Q29" s="462"/>
      <c r="R29" s="462"/>
      <c r="S29" s="462"/>
      <c r="T29" s="462"/>
      <c r="U29" s="462"/>
      <c r="V29" s="462"/>
      <c r="W29" s="462"/>
      <c r="X29" s="462"/>
      <c r="Y29" s="462"/>
      <c r="Z29" s="462"/>
    </row>
    <row r="30" ht="18">
      <c r="C30" s="218" t="s">
        <v>701</v>
      </c>
    </row>
    <row r="31" spans="18:26" ht="15">
      <c r="R31" s="462"/>
      <c r="S31" s="462"/>
      <c r="T31" s="462"/>
      <c r="U31" s="462"/>
      <c r="V31" s="462"/>
      <c r="W31" s="462"/>
      <c r="X31" s="462"/>
      <c r="Y31" s="462"/>
      <c r="Z31" s="462"/>
    </row>
    <row r="32" ht="15">
      <c r="C32" t="s">
        <v>702</v>
      </c>
    </row>
    <row r="33" ht="15">
      <c r="D33" t="s">
        <v>703</v>
      </c>
    </row>
    <row r="34" ht="15">
      <c r="C34" t="s">
        <v>710</v>
      </c>
    </row>
    <row r="37" spans="3:8" ht="18">
      <c r="C37" s="602" t="s">
        <v>43</v>
      </c>
      <c r="D37" s="602"/>
      <c r="E37" s="602"/>
      <c r="F37" s="602"/>
      <c r="G37" s="603"/>
      <c r="H37" s="603"/>
    </row>
    <row r="38" spans="3:8" ht="18">
      <c r="C38" s="21"/>
      <c r="D38" s="21"/>
      <c r="E38" s="21"/>
      <c r="F38" s="21"/>
      <c r="G38" s="20"/>
      <c r="H38" s="20"/>
    </row>
    <row r="39" spans="3:17" ht="19.5" thickBot="1">
      <c r="C39" t="s">
        <v>44</v>
      </c>
      <c r="N39" s="604" t="s">
        <v>48</v>
      </c>
      <c r="O39" s="604"/>
      <c r="P39" s="604"/>
      <c r="Q39" s="604"/>
    </row>
    <row r="40" spans="4:17" ht="15">
      <c r="D40" t="s">
        <v>45</v>
      </c>
      <c r="N40" s="462" t="s">
        <v>736</v>
      </c>
      <c r="O40" s="462"/>
      <c r="P40" s="462"/>
      <c r="Q40" s="462"/>
    </row>
    <row r="41" ht="15">
      <c r="C41" t="s">
        <v>567</v>
      </c>
    </row>
    <row r="42" ht="15">
      <c r="C42" t="s">
        <v>46</v>
      </c>
    </row>
    <row r="43" ht="15">
      <c r="D43" t="s">
        <v>47</v>
      </c>
    </row>
    <row r="44" ht="15">
      <c r="C44" t="s">
        <v>704</v>
      </c>
    </row>
    <row r="45" ht="15">
      <c r="D45" t="s">
        <v>705</v>
      </c>
    </row>
  </sheetData>
  <sheetProtection password="A20C" sheet="1" objects="1" scenarios="1"/>
  <mergeCells count="11">
    <mergeCell ref="N28:Q28"/>
    <mergeCell ref="N25:Q25"/>
    <mergeCell ref="C37:H37"/>
    <mergeCell ref="N39:Q39"/>
    <mergeCell ref="C6:F6"/>
    <mergeCell ref="C13:H13"/>
    <mergeCell ref="C20:H20"/>
    <mergeCell ref="N6:Q6"/>
    <mergeCell ref="N20:Q20"/>
    <mergeCell ref="N11:Q11"/>
    <mergeCell ref="N14:Q14"/>
  </mergeCell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wksSummaryV">
    <tabColor theme="3" tint="0.5999900102615356"/>
  </sheetPr>
  <dimension ref="A1:AA99"/>
  <sheetViews>
    <sheetView showGridLines="0" showRowColHeaders="0" zoomScalePageLayoutView="0" workbookViewId="0" topLeftCell="A25">
      <selection activeCell="A4" sqref="A4"/>
    </sheetView>
  </sheetViews>
  <sheetFormatPr defaultColWidth="9.140625" defaultRowHeight="15"/>
  <cols>
    <col min="1" max="1" width="5.7109375" style="0" customWidth="1"/>
    <col min="2" max="2" width="29.421875" style="0" customWidth="1"/>
    <col min="3" max="3" width="21.8515625" style="0" customWidth="1"/>
    <col min="4" max="4" width="21.140625" style="0" customWidth="1"/>
    <col min="5" max="5" width="17.00390625" style="0" customWidth="1"/>
    <col min="6" max="6" width="22.28125" style="0" customWidth="1"/>
    <col min="7" max="7" width="15.7109375" style="0" customWidth="1"/>
    <col min="8" max="8" width="16.140625" style="0" bestFit="1" customWidth="1"/>
    <col min="9" max="9" width="20.8515625" style="0" customWidth="1"/>
    <col min="10" max="10" width="14.28125" style="0" customWidth="1"/>
    <col min="11" max="11" width="15.00390625" style="0" customWidth="1"/>
    <col min="12" max="13" width="15.8515625" style="0" customWidth="1"/>
    <col min="14" max="14" width="12.7109375" style="0" customWidth="1"/>
  </cols>
  <sheetData>
    <row r="1" spans="3:22" ht="15">
      <c r="C1" s="26"/>
      <c r="T1" s="26"/>
      <c r="U1" s="26"/>
      <c r="V1" s="26"/>
    </row>
    <row r="3" spans="1:27" ht="26.25">
      <c r="A3" s="7"/>
      <c r="B3" s="4" t="s">
        <v>5</v>
      </c>
      <c r="C3" s="5"/>
      <c r="D3" s="5"/>
      <c r="E3" s="5"/>
      <c r="F3" s="5"/>
      <c r="G3" s="5"/>
      <c r="H3" s="5"/>
      <c r="I3" s="5"/>
      <c r="J3" s="5"/>
      <c r="K3" s="5"/>
      <c r="L3" s="5"/>
      <c r="M3" s="5"/>
      <c r="N3" s="5"/>
      <c r="O3" s="5"/>
      <c r="P3" s="5"/>
      <c r="Q3" s="5"/>
      <c r="R3" s="5"/>
      <c r="S3" s="5"/>
      <c r="T3" s="5"/>
      <c r="U3" s="5"/>
      <c r="V3" s="5"/>
      <c r="W3" s="5"/>
      <c r="X3" s="5"/>
      <c r="Y3" s="5"/>
      <c r="Z3" s="5"/>
      <c r="AA3" s="6"/>
    </row>
    <row r="4" spans="5:13" ht="15">
      <c r="E4" s="462"/>
      <c r="F4" s="462"/>
      <c r="G4" s="462"/>
      <c r="H4" s="462"/>
      <c r="I4" s="462"/>
      <c r="J4" s="462"/>
      <c r="K4" s="462"/>
      <c r="L4" s="462"/>
      <c r="M4" s="492"/>
    </row>
    <row r="5" spans="2:13" ht="15">
      <c r="B5" s="221" t="s">
        <v>697</v>
      </c>
      <c r="C5" t="str">
        <f>nrProjectName</f>
        <v>Clayton Community Church-Sunday</v>
      </c>
      <c r="E5" s="462"/>
      <c r="F5" s="462"/>
      <c r="G5" s="462"/>
      <c r="H5" s="462"/>
      <c r="I5" s="462"/>
      <c r="J5" s="462"/>
      <c r="K5" s="462"/>
      <c r="L5" s="462"/>
      <c r="M5" s="492"/>
    </row>
    <row r="6" spans="2:13" ht="15">
      <c r="B6" s="506" t="s">
        <v>711</v>
      </c>
      <c r="C6" s="221">
        <f>nrProjectYear</f>
        <v>2012</v>
      </c>
      <c r="D6" s="221">
        <f>IF(nrUseBaseline,nrBaselineYear,"N/A")</f>
        <v>2011</v>
      </c>
      <c r="E6" s="462"/>
      <c r="F6" s="462"/>
      <c r="G6" s="462"/>
      <c r="H6" s="462"/>
      <c r="I6" s="462"/>
      <c r="J6" s="462"/>
      <c r="K6" s="462"/>
      <c r="L6" s="462"/>
      <c r="M6" s="492"/>
    </row>
    <row r="7" spans="2:13" ht="15" customHeight="1">
      <c r="B7" s="492"/>
      <c r="C7" s="609" t="s">
        <v>660</v>
      </c>
      <c r="D7" s="609" t="s">
        <v>661</v>
      </c>
      <c r="E7" s="462"/>
      <c r="F7" s="462"/>
      <c r="G7" s="462"/>
      <c r="H7" s="462"/>
      <c r="I7" s="462"/>
      <c r="J7" s="462"/>
      <c r="K7" s="462"/>
      <c r="L7" s="462"/>
      <c r="M7" s="492"/>
    </row>
    <row r="8" spans="2:13" ht="15" customHeight="1">
      <c r="B8" s="492"/>
      <c r="C8" s="610"/>
      <c r="D8" s="609"/>
      <c r="E8" s="608"/>
      <c r="F8" s="462"/>
      <c r="G8" s="462"/>
      <c r="H8" s="462"/>
      <c r="I8" s="462"/>
      <c r="J8" s="462"/>
      <c r="K8" s="462"/>
      <c r="L8" s="462"/>
      <c r="M8" s="492"/>
    </row>
    <row r="9" spans="2:13" ht="36.75" customHeight="1">
      <c r="B9" s="493" t="s">
        <v>120</v>
      </c>
      <c r="C9" s="610"/>
      <c r="D9" s="611"/>
      <c r="E9" s="608"/>
      <c r="F9" s="462"/>
      <c r="G9" s="462"/>
      <c r="H9" s="462"/>
      <c r="I9" s="462"/>
      <c r="J9" s="462"/>
      <c r="K9" s="462"/>
      <c r="L9" s="462"/>
      <c r="M9" s="492"/>
    </row>
    <row r="10" spans="2:13" ht="15">
      <c r="B10" s="494" t="s">
        <v>138</v>
      </c>
      <c r="C10" s="495">
        <f>nrResultTransUnMit</f>
        <v>425.66793566847934</v>
      </c>
      <c r="D10" s="496">
        <f>nrResultTranMit</f>
        <v>361.1926877013165</v>
      </c>
      <c r="E10" s="462"/>
      <c r="F10" s="462"/>
      <c r="G10" s="462"/>
      <c r="H10" s="462"/>
      <c r="I10" s="462"/>
      <c r="J10" s="462"/>
      <c r="K10" s="462"/>
      <c r="L10" s="462"/>
      <c r="M10" s="492"/>
    </row>
    <row r="11" spans="2:13" ht="15">
      <c r="B11" s="497" t="s">
        <v>139</v>
      </c>
      <c r="C11" s="498">
        <f>nrResultAreaUnMit</f>
        <v>0.2268602540834845</v>
      </c>
      <c r="D11" s="499">
        <f>nrResultAreaMit</f>
        <v>0.2268602540834845</v>
      </c>
      <c r="E11" s="462"/>
      <c r="F11" s="462"/>
      <c r="G11" s="462"/>
      <c r="H11" s="462"/>
      <c r="I11" s="462"/>
      <c r="J11" s="462"/>
      <c r="K11" s="462"/>
      <c r="L11" s="462"/>
      <c r="M11" s="492"/>
    </row>
    <row r="12" spans="2:13" ht="15">
      <c r="B12" s="497" t="s">
        <v>140</v>
      </c>
      <c r="C12" s="498">
        <f>nrResultElec</f>
        <v>138.4995192964466</v>
      </c>
      <c r="D12" s="499">
        <f>nrResultElecMit</f>
        <v>116.17070404943875</v>
      </c>
      <c r="E12" s="462"/>
      <c r="F12" s="462"/>
      <c r="G12" s="462"/>
      <c r="H12" s="462"/>
      <c r="I12" s="462"/>
      <c r="J12" s="462"/>
      <c r="K12" s="462"/>
      <c r="L12" s="462"/>
      <c r="M12" s="492"/>
    </row>
    <row r="13" spans="2:13" ht="15">
      <c r="B13" s="497" t="s">
        <v>330</v>
      </c>
      <c r="C13" s="498">
        <f>nrResultGas</f>
        <v>61.02906995099828</v>
      </c>
      <c r="D13" s="499">
        <f>nrResultGasMit</f>
        <v>51.9649785327587</v>
      </c>
      <c r="E13" s="462"/>
      <c r="F13" s="462"/>
      <c r="G13" s="462"/>
      <c r="H13" s="462"/>
      <c r="I13" s="462"/>
      <c r="J13" s="462"/>
      <c r="K13" s="462"/>
      <c r="L13" s="462"/>
      <c r="M13" s="492"/>
    </row>
    <row r="14" spans="2:13" ht="15">
      <c r="B14" s="497" t="s">
        <v>290</v>
      </c>
      <c r="C14" s="498">
        <f>nrResultWater</f>
        <v>4.121633518757423</v>
      </c>
      <c r="D14" s="499">
        <f>nrResultWaterMit</f>
        <v>3.948035942877788</v>
      </c>
      <c r="E14" s="462"/>
      <c r="F14" s="462"/>
      <c r="G14" s="462"/>
      <c r="H14" s="462"/>
      <c r="I14" s="462"/>
      <c r="J14" s="462"/>
      <c r="K14" s="462"/>
      <c r="L14" s="462"/>
      <c r="M14" s="492"/>
    </row>
    <row r="15" spans="2:13" ht="15">
      <c r="B15" s="497" t="s">
        <v>141</v>
      </c>
      <c r="C15" s="498">
        <f>nrResultSolidWaste</f>
        <v>35.36909281929849</v>
      </c>
      <c r="D15" s="499">
        <f>nrResultSolidWasteMit</f>
        <v>35.36909281929849</v>
      </c>
      <c r="E15" s="462"/>
      <c r="F15" s="462"/>
      <c r="G15" s="462"/>
      <c r="H15" s="462"/>
      <c r="I15" s="462"/>
      <c r="J15" s="462"/>
      <c r="K15" s="462"/>
      <c r="L15" s="462"/>
      <c r="M15" s="492"/>
    </row>
    <row r="16" spans="2:13" ht="15">
      <c r="B16" s="497" t="s">
        <v>498</v>
      </c>
      <c r="C16" s="498">
        <f>nrResultAg</f>
        <v>0</v>
      </c>
      <c r="D16" s="499">
        <f>nrResultAg</f>
        <v>0</v>
      </c>
      <c r="E16" s="462"/>
      <c r="F16" s="462"/>
      <c r="G16" s="462"/>
      <c r="H16" s="462"/>
      <c r="I16" s="462"/>
      <c r="J16" s="462"/>
      <c r="K16" s="462"/>
      <c r="L16" s="462"/>
      <c r="M16" s="492"/>
    </row>
    <row r="17" spans="2:13" ht="15">
      <c r="B17" s="497" t="s">
        <v>497</v>
      </c>
      <c r="C17" s="498">
        <f>nrResultOffRoad</f>
        <v>0</v>
      </c>
      <c r="D17" s="499">
        <f>nrResultOffRoad</f>
        <v>0</v>
      </c>
      <c r="E17" s="462"/>
      <c r="F17" s="462"/>
      <c r="G17" s="462"/>
      <c r="H17" s="462"/>
      <c r="I17" s="462"/>
      <c r="J17" s="462"/>
      <c r="K17" s="462"/>
      <c r="L17" s="462"/>
      <c r="M17" s="492"/>
    </row>
    <row r="18" spans="2:13" ht="15">
      <c r="B18" s="497" t="s">
        <v>496</v>
      </c>
      <c r="C18" s="498">
        <f>nrResultRefrigerant</f>
        <v>0</v>
      </c>
      <c r="D18" s="499">
        <f>nrResultRefrigerantMit</f>
        <v>0</v>
      </c>
      <c r="E18" s="462"/>
      <c r="F18" s="462"/>
      <c r="G18" s="462"/>
      <c r="H18" s="462"/>
      <c r="I18" s="462"/>
      <c r="J18" s="462"/>
      <c r="K18" s="462"/>
      <c r="L18" s="462"/>
      <c r="M18" s="492"/>
    </row>
    <row r="19" spans="2:13" ht="15">
      <c r="B19" s="497" t="s">
        <v>573</v>
      </c>
      <c r="C19" s="500" t="s">
        <v>602</v>
      </c>
      <c r="D19" s="499">
        <f>+nrResultSequester*-1</f>
        <v>0</v>
      </c>
      <c r="E19" s="462"/>
      <c r="F19" s="462"/>
      <c r="G19" s="462"/>
      <c r="H19" s="462"/>
      <c r="I19" s="462"/>
      <c r="J19" s="462"/>
      <c r="K19" s="462"/>
      <c r="L19" s="462"/>
      <c r="M19" s="492"/>
    </row>
    <row r="20" spans="2:13" ht="15.75" thickBot="1">
      <c r="B20" s="497" t="s">
        <v>669</v>
      </c>
      <c r="C20" s="500" t="s">
        <v>602</v>
      </c>
      <c r="D20" s="499">
        <f>+Mitigation!J18</f>
        <v>0</v>
      </c>
      <c r="E20" s="462"/>
      <c r="F20" s="462"/>
      <c r="G20" s="462"/>
      <c r="H20" s="462"/>
      <c r="I20" s="462"/>
      <c r="J20" s="462"/>
      <c r="K20" s="462"/>
      <c r="L20" s="462"/>
      <c r="M20" s="492"/>
    </row>
    <row r="21" spans="2:13" ht="15.75" thickBot="1">
      <c r="B21" s="501" t="s">
        <v>136</v>
      </c>
      <c r="C21" s="502">
        <f>SUM(C10:C20)</f>
        <v>664.9141115080636</v>
      </c>
      <c r="D21" s="503">
        <f>SUM(D10:D20)</f>
        <v>568.8723592997737</v>
      </c>
      <c r="E21" s="462"/>
      <c r="F21" s="462"/>
      <c r="G21" s="462"/>
      <c r="H21" s="462"/>
      <c r="I21" s="462"/>
      <c r="J21" s="462"/>
      <c r="K21" s="462"/>
      <c r="L21" s="462"/>
      <c r="M21" s="492"/>
    </row>
    <row r="22" spans="2:13" ht="15">
      <c r="B22" s="492"/>
      <c r="C22" s="492"/>
      <c r="D22" s="492"/>
      <c r="E22" s="462"/>
      <c r="F22" s="462"/>
      <c r="G22" s="462"/>
      <c r="H22" s="462"/>
      <c r="I22" s="462"/>
      <c r="J22" s="462"/>
      <c r="K22" s="462"/>
      <c r="L22" s="462"/>
      <c r="M22" s="492"/>
    </row>
    <row r="23" spans="2:13" ht="15">
      <c r="B23" s="492"/>
      <c r="C23" s="492"/>
      <c r="D23" s="492"/>
      <c r="E23" s="462"/>
      <c r="F23" s="462"/>
      <c r="G23" s="462"/>
      <c r="H23" s="462"/>
      <c r="I23" s="462"/>
      <c r="J23" s="462"/>
      <c r="K23" s="462"/>
      <c r="L23" s="462"/>
      <c r="M23" s="492"/>
    </row>
    <row r="24" spans="2:13" ht="15">
      <c r="B24" s="504" t="s">
        <v>679</v>
      </c>
      <c r="C24" s="505" t="str">
        <f>IF(+nrUseBaseline,"ON","OFF")</f>
        <v>ON</v>
      </c>
      <c r="D24" s="492"/>
      <c r="E24" s="462"/>
      <c r="F24" s="462"/>
      <c r="G24" s="462"/>
      <c r="H24" s="462"/>
      <c r="I24" s="462"/>
      <c r="J24" s="462"/>
      <c r="K24" s="462"/>
      <c r="L24" s="462"/>
      <c r="M24" s="492"/>
    </row>
    <row r="25" spans="2:13" ht="15">
      <c r="B25" s="504" t="s">
        <v>698</v>
      </c>
      <c r="C25" s="492">
        <f>IF(nrUseBaseline,nrBaselineName,"")</f>
        <v>0</v>
      </c>
      <c r="D25" s="492"/>
      <c r="E25" s="462"/>
      <c r="F25" s="462"/>
      <c r="G25" s="462"/>
      <c r="H25" s="462"/>
      <c r="I25" s="462"/>
      <c r="J25" s="462"/>
      <c r="K25" s="462"/>
      <c r="L25" s="462"/>
      <c r="M25" s="492"/>
    </row>
    <row r="26" spans="2:13" ht="15">
      <c r="B26" s="492" t="str">
        <f>IF(C24="ON","Go to Settings Tab to Turn Off Baseline","Go to Settings Tab to Turn On Baseline")</f>
        <v>Go to Settings Tab to Turn Off Baseline</v>
      </c>
      <c r="C26" s="492"/>
      <c r="D26" s="492"/>
      <c r="E26" s="462"/>
      <c r="F26" s="462"/>
      <c r="G26" s="462"/>
      <c r="H26" s="462"/>
      <c r="I26" s="462"/>
      <c r="J26" s="462"/>
      <c r="K26" s="462"/>
      <c r="L26" s="462"/>
      <c r="M26" s="492"/>
    </row>
    <row r="27" spans="5:13" ht="15">
      <c r="E27" s="462"/>
      <c r="F27" s="462"/>
      <c r="G27" s="462"/>
      <c r="H27" s="462"/>
      <c r="I27" s="462"/>
      <c r="J27" s="462"/>
      <c r="K27" s="462"/>
      <c r="L27" s="462"/>
      <c r="M27" s="492"/>
    </row>
    <row r="28" spans="5:13" ht="15">
      <c r="E28" s="462"/>
      <c r="F28" s="462"/>
      <c r="G28" s="462"/>
      <c r="H28" s="462"/>
      <c r="I28" s="462"/>
      <c r="J28" s="462"/>
      <c r="K28" s="462"/>
      <c r="L28" s="462"/>
      <c r="M28" s="492"/>
    </row>
    <row r="29" spans="5:13" ht="15">
      <c r="E29" s="462"/>
      <c r="F29" s="462"/>
      <c r="G29" s="462"/>
      <c r="H29" s="462"/>
      <c r="I29" s="462"/>
      <c r="J29" s="462"/>
      <c r="K29" s="462"/>
      <c r="L29" s="462"/>
      <c r="M29" s="492"/>
    </row>
    <row r="31" spans="1:26" ht="15">
      <c r="A31" s="429"/>
      <c r="B31" s="612" t="s">
        <v>670</v>
      </c>
      <c r="C31" s="612"/>
      <c r="D31" s="429"/>
      <c r="E31" s="429"/>
      <c r="F31" s="429"/>
      <c r="G31" s="429"/>
      <c r="H31" s="429"/>
      <c r="I31" s="429"/>
      <c r="J31" s="429"/>
      <c r="K31" s="429"/>
      <c r="L31" s="429"/>
      <c r="M31" s="429"/>
      <c r="N31" s="429"/>
      <c r="O31" s="429"/>
      <c r="P31" s="429"/>
      <c r="Q31" s="429"/>
      <c r="R31" s="429"/>
      <c r="S31" s="429"/>
      <c r="T31" s="429"/>
      <c r="U31" s="429"/>
      <c r="V31" s="429"/>
      <c r="W31" s="429"/>
      <c r="X31" s="429"/>
      <c r="Y31" s="429"/>
      <c r="Z31" s="429"/>
    </row>
    <row r="32" spans="1:26" ht="15">
      <c r="A32" s="429"/>
      <c r="B32" s="612"/>
      <c r="C32" s="612"/>
      <c r="D32" s="429"/>
      <c r="E32" s="429"/>
      <c r="F32" s="429"/>
      <c r="G32" s="429"/>
      <c r="H32" s="429"/>
      <c r="I32" s="429"/>
      <c r="J32" s="429"/>
      <c r="K32" s="429"/>
      <c r="L32" s="429"/>
      <c r="M32" s="429"/>
      <c r="N32" s="429"/>
      <c r="O32" s="429"/>
      <c r="P32" s="429"/>
      <c r="Q32" s="429"/>
      <c r="R32" s="429"/>
      <c r="S32" s="429"/>
      <c r="T32" s="429"/>
      <c r="U32" s="429"/>
      <c r="V32" s="429"/>
      <c r="W32" s="429"/>
      <c r="X32" s="429"/>
      <c r="Y32" s="429"/>
      <c r="Z32" s="429"/>
    </row>
    <row r="35" spans="2:14" ht="15.75">
      <c r="B35" s="27" t="s">
        <v>54</v>
      </c>
      <c r="C35" s="253" t="s">
        <v>671</v>
      </c>
      <c r="D35" s="253" t="s">
        <v>672</v>
      </c>
      <c r="E35" s="253" t="s">
        <v>673</v>
      </c>
      <c r="F35" s="253" t="s">
        <v>674</v>
      </c>
      <c r="G35" s="253" t="s">
        <v>675</v>
      </c>
      <c r="I35" s="27" t="s">
        <v>114</v>
      </c>
      <c r="J35" s="253" t="s">
        <v>671</v>
      </c>
      <c r="K35" s="253" t="s">
        <v>672</v>
      </c>
      <c r="L35" s="253" t="s">
        <v>673</v>
      </c>
      <c r="M35" s="253" t="s">
        <v>674</v>
      </c>
      <c r="N35" s="253" t="s">
        <v>675</v>
      </c>
    </row>
    <row r="36" spans="2:14" ht="15.75">
      <c r="B36" s="427" t="s">
        <v>676</v>
      </c>
      <c r="C36" s="442"/>
      <c r="D36" s="442"/>
      <c r="E36" s="442"/>
      <c r="F36" s="442">
        <f>+Transportation!C17</f>
        <v>425.66793566847934</v>
      </c>
      <c r="G36" s="431">
        <f>IF($F$47&gt;0,F36/$F$47,0)</f>
        <v>0.6401848423746639</v>
      </c>
      <c r="H36" s="253"/>
      <c r="I36" s="427" t="s">
        <v>676</v>
      </c>
      <c r="J36" s="446"/>
      <c r="K36" s="446"/>
      <c r="L36" s="446"/>
      <c r="M36" s="446">
        <f>+nrResultTransBase</f>
        <v>0</v>
      </c>
      <c r="N36" s="431" t="str">
        <f>+IF($M$47=0,"N/A",M36/$M$47)</f>
        <v>N/A</v>
      </c>
    </row>
    <row r="37" spans="2:14" ht="15">
      <c r="B37" s="421" t="s">
        <v>139</v>
      </c>
      <c r="C37" s="443">
        <f>+'Area Source'!C9+'Area Source'!C11</f>
        <v>0.2268602540834845</v>
      </c>
      <c r="D37" s="443">
        <f>+'Area Source'!C17+'Area Source'!C19</f>
        <v>0</v>
      </c>
      <c r="E37" s="443">
        <f>+'Area Source'!C13+'Area Source'!C15</f>
        <v>0</v>
      </c>
      <c r="F37" s="443">
        <f>+'Area Source'!C21</f>
        <v>0.2268602540834845</v>
      </c>
      <c r="G37" s="435">
        <f aca="true" t="shared" si="0" ref="G37:G44">IF($F$37&gt;0,F37/$F$47,0)</f>
        <v>0.00034118730548363964</v>
      </c>
      <c r="H37" s="434"/>
      <c r="I37" s="421" t="s">
        <v>139</v>
      </c>
      <c r="J37" s="243">
        <f>+'Area Source'!D9+'Area Source'!D11</f>
        <v>0</v>
      </c>
      <c r="K37" s="243">
        <f>+'Area Source'!D17+'Area Source'!D19</f>
        <v>0</v>
      </c>
      <c r="L37" s="243">
        <f>+'Area Source'!D13+'Area Source'!D15</f>
        <v>0</v>
      </c>
      <c r="M37" s="243">
        <f>+nrResultAreaBase</f>
        <v>0</v>
      </c>
      <c r="N37" s="432" t="str">
        <f aca="true" t="shared" si="1" ref="N37:N44">+IF($M$47=0,"N/A",M37/$M$47)</f>
        <v>N/A</v>
      </c>
    </row>
    <row r="38" spans="2:14" ht="15">
      <c r="B38" s="421" t="s">
        <v>140</v>
      </c>
      <c r="C38" s="443">
        <f>+' Elec &amp; Natural Gas'!C8</f>
        <v>138.27819924130574</v>
      </c>
      <c r="D38" s="443">
        <f>+' Elec &amp; Natural Gas'!C9</f>
        <v>0.0011515449013308828</v>
      </c>
      <c r="E38" s="443">
        <f>+' Elec &amp; Natural Gas'!C10</f>
        <v>0.0006359277813319801</v>
      </c>
      <c r="F38" s="443">
        <f>+' Elec &amp; Natural Gas'!C11</f>
        <v>138.4995192964466</v>
      </c>
      <c r="G38" s="435">
        <f t="shared" si="0"/>
        <v>0.2082968565403458</v>
      </c>
      <c r="H38" s="434"/>
      <c r="I38" s="421" t="s">
        <v>140</v>
      </c>
      <c r="J38" s="243">
        <f>+' Elec &amp; Natural Gas'!D8</f>
        <v>0</v>
      </c>
      <c r="K38" s="243">
        <f>+' Elec &amp; Natural Gas'!D9</f>
        <v>0</v>
      </c>
      <c r="L38" s="243">
        <f>+' Elec &amp; Natural Gas'!D10</f>
        <v>0</v>
      </c>
      <c r="M38" s="243">
        <f>+nrResultElecBase</f>
        <v>0</v>
      </c>
      <c r="N38" s="432" t="str">
        <f t="shared" si="1"/>
        <v>N/A</v>
      </c>
    </row>
    <row r="39" spans="2:14" ht="15">
      <c r="B39" s="421" t="s">
        <v>330</v>
      </c>
      <c r="C39" s="443">
        <f>+' Elec &amp; Natural Gas'!C16</f>
        <v>60.87304405594347</v>
      </c>
      <c r="D39" s="443">
        <f>+' Elec &amp; Natural Gas'!C17</f>
        <v>0.005736246141721021</v>
      </c>
      <c r="E39" s="443">
        <f>+' Elec &amp; Natural Gas'!C18</f>
        <v>0.00011472492283442042</v>
      </c>
      <c r="F39" s="443">
        <f>+' Elec &amp; Natural Gas'!C19</f>
        <v>61.02906995099828</v>
      </c>
      <c r="G39" s="435">
        <f t="shared" si="0"/>
        <v>0.09178489205557816</v>
      </c>
      <c r="H39" s="434"/>
      <c r="I39" s="421" t="s">
        <v>330</v>
      </c>
      <c r="J39" s="243">
        <f>+' Elec &amp; Natural Gas'!D16</f>
        <v>0</v>
      </c>
      <c r="K39" s="243">
        <f>+' Elec &amp; Natural Gas'!D17</f>
        <v>0</v>
      </c>
      <c r="L39" s="243">
        <f>+' Elec &amp; Natural Gas'!D18</f>
        <v>0</v>
      </c>
      <c r="M39" s="243">
        <f>+nrResultGasBase</f>
        <v>0</v>
      </c>
      <c r="N39" s="432" t="str">
        <f t="shared" si="1"/>
        <v>N/A</v>
      </c>
    </row>
    <row r="40" spans="2:14" ht="15">
      <c r="B40" s="421" t="s">
        <v>290</v>
      </c>
      <c r="C40" s="443">
        <f>+'Water &amp; Wastewater'!C8</f>
        <v>4.115047213171125</v>
      </c>
      <c r="D40" s="443">
        <f>+'Water &amp; Wastewater'!C9</f>
        <v>3.426904358794657E-05</v>
      </c>
      <c r="E40" s="443">
        <f>+'Water &amp; Wastewater'!C10</f>
        <v>1.8924695712746615E-05</v>
      </c>
      <c r="F40" s="443">
        <f>+'Water &amp; Wastewater'!C11</f>
        <v>4.121633518757423</v>
      </c>
      <c r="G40" s="435">
        <f t="shared" si="0"/>
        <v>0.006198745743881597</v>
      </c>
      <c r="H40" s="434"/>
      <c r="I40" s="421" t="s">
        <v>290</v>
      </c>
      <c r="J40" s="243">
        <f>+'Water &amp; Wastewater'!D8</f>
        <v>0</v>
      </c>
      <c r="K40" s="243">
        <f>+'Water &amp; Wastewater'!D9</f>
        <v>0</v>
      </c>
      <c r="L40" s="243">
        <f>+'Water &amp; Wastewater'!D10</f>
        <v>0</v>
      </c>
      <c r="M40" s="243">
        <f>+nrResultWaterBase</f>
        <v>0</v>
      </c>
      <c r="N40" s="432" t="str">
        <f t="shared" si="1"/>
        <v>N/A</v>
      </c>
    </row>
    <row r="41" spans="2:14" ht="15">
      <c r="B41" s="421" t="s">
        <v>141</v>
      </c>
      <c r="C41" s="443">
        <f>+'Solid Waste'!C8</f>
        <v>0.25857656910010096</v>
      </c>
      <c r="D41" s="443">
        <f>+('Solid Waste'!C11/21)+'Solid Waste'!C9</f>
        <v>1.671929345247542</v>
      </c>
      <c r="E41" s="443" t="s">
        <v>602</v>
      </c>
      <c r="F41" s="444">
        <f>+'Solid Waste'!C12</f>
        <v>35.36909281929849</v>
      </c>
      <c r="G41" s="436">
        <f t="shared" si="0"/>
        <v>0.05319347598004702</v>
      </c>
      <c r="H41" s="437"/>
      <c r="I41" s="421" t="s">
        <v>141</v>
      </c>
      <c r="J41" s="243">
        <f>+'Solid Waste'!D8</f>
        <v>0</v>
      </c>
      <c r="K41" s="243">
        <f>+'Solid Waste'!D11/21+D8</f>
        <v>0</v>
      </c>
      <c r="L41" s="243" t="s">
        <v>602</v>
      </c>
      <c r="M41" s="412">
        <f>+nrResultSolidWasteBase</f>
        <v>0</v>
      </c>
      <c r="N41" s="432" t="str">
        <f t="shared" si="1"/>
        <v>N/A</v>
      </c>
    </row>
    <row r="42" spans="2:14" ht="15">
      <c r="B42" s="421" t="s">
        <v>498</v>
      </c>
      <c r="C42" s="443">
        <f>+'Ag'!D8</f>
        <v>0</v>
      </c>
      <c r="D42" s="443">
        <f>+'Ag'!D9</f>
        <v>0</v>
      </c>
      <c r="E42" s="443">
        <f>+'Ag'!D10</f>
        <v>0</v>
      </c>
      <c r="F42" s="443">
        <f>+'Ag'!D11</f>
        <v>0</v>
      </c>
      <c r="G42" s="435">
        <f t="shared" si="0"/>
        <v>0</v>
      </c>
      <c r="H42" s="253"/>
      <c r="I42" s="421" t="s">
        <v>498</v>
      </c>
      <c r="J42" s="243">
        <f>+'Ag'!E8</f>
        <v>0</v>
      </c>
      <c r="K42" s="243">
        <f>+'Ag'!E9</f>
        <v>0</v>
      </c>
      <c r="L42" s="243">
        <f>+'Ag'!E10</f>
        <v>0</v>
      </c>
      <c r="M42" s="243">
        <f>+nrResultAgBase</f>
        <v>0</v>
      </c>
      <c r="N42" s="432" t="str">
        <f t="shared" si="1"/>
        <v>N/A</v>
      </c>
    </row>
    <row r="43" spans="2:14" ht="15">
      <c r="B43" s="421" t="s">
        <v>497</v>
      </c>
      <c r="C43" s="443">
        <f>+'Off-Road Equip'!G9</f>
        <v>0</v>
      </c>
      <c r="D43" s="443">
        <f>+'Off-Road Equip'!G10</f>
        <v>0</v>
      </c>
      <c r="E43" s="443">
        <f>+'Off-Road Equip'!G11</f>
        <v>0</v>
      </c>
      <c r="F43" s="443">
        <f>+'Off-Road Equip'!G12</f>
        <v>0</v>
      </c>
      <c r="G43" s="435">
        <f t="shared" si="0"/>
        <v>0</v>
      </c>
      <c r="H43" s="253"/>
      <c r="I43" s="421" t="s">
        <v>497</v>
      </c>
      <c r="J43" s="243">
        <f>+'Off-Road Equip'!M9</f>
        <v>0</v>
      </c>
      <c r="K43" s="243">
        <f>+'Off-Road Equip'!M10</f>
        <v>0</v>
      </c>
      <c r="L43" s="243">
        <f>+'Off-Road Equip'!M11</f>
        <v>0</v>
      </c>
      <c r="M43" s="243">
        <f>+nrResultOffRoadBase</f>
        <v>0</v>
      </c>
      <c r="N43" s="432" t="str">
        <f t="shared" si="1"/>
        <v>N/A</v>
      </c>
    </row>
    <row r="44" spans="2:14" ht="15">
      <c r="B44" s="421" t="s">
        <v>496</v>
      </c>
      <c r="C44" s="443" t="s">
        <v>602</v>
      </c>
      <c r="D44" s="443" t="s">
        <v>602</v>
      </c>
      <c r="E44" s="443" t="s">
        <v>602</v>
      </c>
      <c r="F44" s="443">
        <f>+Refrigerants!E10</f>
        <v>0</v>
      </c>
      <c r="G44" s="435">
        <f t="shared" si="0"/>
        <v>0</v>
      </c>
      <c r="H44" s="253"/>
      <c r="I44" s="421" t="s">
        <v>496</v>
      </c>
      <c r="J44" s="243" t="s">
        <v>602</v>
      </c>
      <c r="K44" s="243" t="s">
        <v>602</v>
      </c>
      <c r="L44" s="243" t="s">
        <v>602</v>
      </c>
      <c r="M44" s="243">
        <f>+nrResultRefrigerantBase</f>
        <v>0</v>
      </c>
      <c r="N44" s="432" t="str">
        <f t="shared" si="1"/>
        <v>N/A</v>
      </c>
    </row>
    <row r="45" spans="2:14" ht="15">
      <c r="B45" s="421" t="s">
        <v>573</v>
      </c>
      <c r="C45" s="443" t="s">
        <v>602</v>
      </c>
      <c r="D45" s="443" t="s">
        <v>602</v>
      </c>
      <c r="E45" s="443" t="s">
        <v>602</v>
      </c>
      <c r="F45" s="443" t="s">
        <v>602</v>
      </c>
      <c r="G45" s="432" t="s">
        <v>602</v>
      </c>
      <c r="H45" s="253"/>
      <c r="I45" s="421" t="s">
        <v>573</v>
      </c>
      <c r="J45" s="243" t="s">
        <v>602</v>
      </c>
      <c r="K45" s="243" t="s">
        <v>602</v>
      </c>
      <c r="L45" s="243" t="s">
        <v>602</v>
      </c>
      <c r="M45" s="243" t="s">
        <v>602</v>
      </c>
      <c r="N45" s="432" t="s">
        <v>602</v>
      </c>
    </row>
    <row r="46" spans="2:14" ht="15">
      <c r="B46" s="428" t="s">
        <v>669</v>
      </c>
      <c r="C46" s="445" t="s">
        <v>602</v>
      </c>
      <c r="D46" s="445" t="s">
        <v>602</v>
      </c>
      <c r="E46" s="445" t="s">
        <v>602</v>
      </c>
      <c r="F46" s="445" t="s">
        <v>602</v>
      </c>
      <c r="G46" s="433" t="s">
        <v>602</v>
      </c>
      <c r="H46" s="253"/>
      <c r="I46" s="428" t="s">
        <v>669</v>
      </c>
      <c r="J46" s="447" t="s">
        <v>602</v>
      </c>
      <c r="K46" s="447" t="s">
        <v>602</v>
      </c>
      <c r="L46" s="447" t="s">
        <v>602</v>
      </c>
      <c r="M46" s="447" t="s">
        <v>602</v>
      </c>
      <c r="N46" s="433" t="s">
        <v>602</v>
      </c>
    </row>
    <row r="47" spans="2:14" ht="15">
      <c r="B47" s="439" t="s">
        <v>136</v>
      </c>
      <c r="C47" s="380"/>
      <c r="D47" s="380"/>
      <c r="E47" s="380"/>
      <c r="F47" s="430">
        <f>SUM(F36:F46)</f>
        <v>664.9141115080636</v>
      </c>
      <c r="G47" s="433">
        <f>SUM(G36:G46)</f>
        <v>1</v>
      </c>
      <c r="I47" s="439" t="s">
        <v>136</v>
      </c>
      <c r="J47" s="318"/>
      <c r="K47" s="318"/>
      <c r="L47" s="318"/>
      <c r="M47" s="447">
        <f>SUM(M36:M46)</f>
        <v>0</v>
      </c>
      <c r="N47" s="433">
        <f>SUM(N36:N46)</f>
        <v>0</v>
      </c>
    </row>
    <row r="49" ht="15">
      <c r="B49" s="438" t="s">
        <v>677</v>
      </c>
    </row>
    <row r="50" ht="15">
      <c r="B50" s="438" t="s">
        <v>694</v>
      </c>
    </row>
    <row r="51" ht="15">
      <c r="B51" s="438" t="s">
        <v>695</v>
      </c>
    </row>
    <row r="52" ht="15">
      <c r="B52" s="438" t="s">
        <v>678</v>
      </c>
    </row>
    <row r="55" spans="2:7" ht="15.75">
      <c r="B55" s="27" t="s">
        <v>55</v>
      </c>
      <c r="C55" s="253" t="s">
        <v>671</v>
      </c>
      <c r="D55" s="253" t="s">
        <v>672</v>
      </c>
      <c r="E55" s="253" t="s">
        <v>673</v>
      </c>
      <c r="F55" s="253" t="s">
        <v>674</v>
      </c>
      <c r="G55" s="253" t="s">
        <v>675</v>
      </c>
    </row>
    <row r="56" spans="2:7" ht="15.75">
      <c r="B56" s="427" t="s">
        <v>676</v>
      </c>
      <c r="C56" s="442"/>
      <c r="D56" s="442"/>
      <c r="E56" s="442"/>
      <c r="F56" s="442">
        <f>+Transportation!I17</f>
        <v>361.1926877013165</v>
      </c>
      <c r="G56" s="431">
        <f aca="true" t="shared" si="2" ref="G56:G66">IF($F$67&gt;0,F56/$F$67,0)</f>
        <v>0.6349274697507001</v>
      </c>
    </row>
    <row r="57" spans="2:7" ht="15">
      <c r="B57" s="421" t="s">
        <v>139</v>
      </c>
      <c r="C57" s="443">
        <f>+'Area Source'!I9+'Area Source'!I11</f>
        <v>0.2268602540834845</v>
      </c>
      <c r="D57" s="443">
        <f>+'Area Source'!I17+'Area Source'!I19</f>
        <v>0</v>
      </c>
      <c r="E57" s="443">
        <f>+'Area Source'!C33+'Area Source'!C35</f>
        <v>0</v>
      </c>
      <c r="F57" s="443">
        <f>+'Area Source'!I21</f>
        <v>0.2268602540834845</v>
      </c>
      <c r="G57" s="432">
        <f t="shared" si="2"/>
        <v>0.0003987893775727253</v>
      </c>
    </row>
    <row r="58" spans="2:7" ht="15">
      <c r="B58" s="421" t="s">
        <v>140</v>
      </c>
      <c r="C58" s="443">
        <f>+' Elec &amp; Natural Gas'!H8</f>
        <v>115.98506509013708</v>
      </c>
      <c r="D58" s="443">
        <f>+' Elec &amp; Natural Gas'!H9</f>
        <v>0.0009658934746611958</v>
      </c>
      <c r="E58" s="443">
        <f>+' Elec &amp; Natural Gas'!H10</f>
        <v>0.0005334038591412574</v>
      </c>
      <c r="F58" s="443">
        <f>+' Elec &amp; Natural Gas'!H11</f>
        <v>116.17070404943875</v>
      </c>
      <c r="G58" s="432">
        <f t="shared" si="2"/>
        <v>0.20421224928634876</v>
      </c>
    </row>
    <row r="59" spans="2:7" ht="15">
      <c r="B59" s="421" t="s">
        <v>330</v>
      </c>
      <c r="C59" s="443">
        <f>+' Elec &amp; Natural Gas'!H16</f>
        <v>51.832125741562834</v>
      </c>
      <c r="D59" s="443">
        <f>+' Elec &amp; Natural Gas'!H17</f>
        <v>0.00488429379396559</v>
      </c>
      <c r="E59" s="443">
        <f>+' Elec &amp; Natural Gas'!H18</f>
        <v>9.76858758793118E-05</v>
      </c>
      <c r="F59" s="443">
        <f>+' Elec &amp; Natural Gas'!H19</f>
        <v>51.9649785327587</v>
      </c>
      <c r="G59" s="432">
        <f t="shared" si="2"/>
        <v>0.09134734300805634</v>
      </c>
    </row>
    <row r="60" spans="2:7" ht="15">
      <c r="B60" s="421" t="s">
        <v>290</v>
      </c>
      <c r="C60" s="443">
        <f>+'Water &amp; Wastewater'!H8</f>
        <v>3.94172704348944</v>
      </c>
      <c r="D60" s="443">
        <f>+'Water &amp; Wastewater'!H9</f>
        <v>3.28256782650698E-05</v>
      </c>
      <c r="E60" s="443">
        <f>+'Water &amp; Wastewater'!H10</f>
        <v>1.8127613370262426E-05</v>
      </c>
      <c r="F60" s="443">
        <f>+'Water &amp; Wastewater'!H11</f>
        <v>3.948035942877788</v>
      </c>
      <c r="G60" s="432">
        <f t="shared" si="2"/>
        <v>0.006940108582068277</v>
      </c>
    </row>
    <row r="61" spans="2:7" ht="15">
      <c r="B61" s="421" t="s">
        <v>141</v>
      </c>
      <c r="C61" s="443">
        <f>+'Solid Waste'!I8</f>
        <v>0.25857656910010096</v>
      </c>
      <c r="D61" s="443">
        <f>+'Solid Waste'!I11/21+'Solid Waste'!I9</f>
        <v>1.671929345247542</v>
      </c>
      <c r="E61" s="443" t="s">
        <v>602</v>
      </c>
      <c r="F61" s="444">
        <f>+'Solid Waste'!I12</f>
        <v>35.36909281929849</v>
      </c>
      <c r="G61" s="432">
        <f t="shared" si="2"/>
        <v>0.06217403999525374</v>
      </c>
    </row>
    <row r="62" spans="2:7" ht="15">
      <c r="B62" s="421" t="s">
        <v>498</v>
      </c>
      <c r="C62" s="443">
        <f>+'Ag'!E8</f>
        <v>0</v>
      </c>
      <c r="D62" s="443">
        <f>+'Ag'!E9</f>
        <v>0</v>
      </c>
      <c r="E62" s="443">
        <f>+'Ag'!E10</f>
        <v>0</v>
      </c>
      <c r="F62" s="443">
        <f>+'Ag'!D11</f>
        <v>0</v>
      </c>
      <c r="G62" s="432">
        <f t="shared" si="2"/>
        <v>0</v>
      </c>
    </row>
    <row r="63" spans="2:7" ht="15">
      <c r="B63" s="421" t="s">
        <v>497</v>
      </c>
      <c r="C63" s="443">
        <f>+'Off-Road Equip'!G9</f>
        <v>0</v>
      </c>
      <c r="D63" s="443">
        <f>+'Off-Road Equip'!G10</f>
        <v>0</v>
      </c>
      <c r="E63" s="443">
        <f>+'Off-Road Equip'!G11</f>
        <v>0</v>
      </c>
      <c r="F63" s="443">
        <f>+'Off-Road Equip'!G12</f>
        <v>0</v>
      </c>
      <c r="G63" s="432">
        <f t="shared" si="2"/>
        <v>0</v>
      </c>
    </row>
    <row r="64" spans="2:7" ht="15">
      <c r="B64" s="421" t="s">
        <v>496</v>
      </c>
      <c r="C64" s="443" t="s">
        <v>602</v>
      </c>
      <c r="D64" s="443" t="s">
        <v>602</v>
      </c>
      <c r="E64" s="443" t="s">
        <v>602</v>
      </c>
      <c r="F64" s="443">
        <f>+Refrigerants!K10</f>
        <v>0</v>
      </c>
      <c r="G64" s="432">
        <f t="shared" si="2"/>
        <v>0</v>
      </c>
    </row>
    <row r="65" spans="2:7" ht="15">
      <c r="B65" s="421" t="s">
        <v>573</v>
      </c>
      <c r="C65" s="443" t="s">
        <v>602</v>
      </c>
      <c r="D65" s="443" t="s">
        <v>602</v>
      </c>
      <c r="E65" s="443" t="s">
        <v>602</v>
      </c>
      <c r="F65" s="443">
        <f>+nrResultSequester*-1</f>
        <v>0</v>
      </c>
      <c r="G65" s="432">
        <f t="shared" si="2"/>
        <v>0</v>
      </c>
    </row>
    <row r="66" spans="2:7" ht="15">
      <c r="B66" s="428" t="s">
        <v>669</v>
      </c>
      <c r="C66" s="445" t="s">
        <v>602</v>
      </c>
      <c r="D66" s="445" t="s">
        <v>602</v>
      </c>
      <c r="E66" s="445" t="s">
        <v>602</v>
      </c>
      <c r="F66" s="445">
        <f>+nrResultOffsets</f>
        <v>0</v>
      </c>
      <c r="G66" s="433">
        <f t="shared" si="2"/>
        <v>0</v>
      </c>
    </row>
    <row r="67" spans="2:7" ht="15">
      <c r="B67" s="439" t="s">
        <v>136</v>
      </c>
      <c r="C67" s="380"/>
      <c r="D67" s="380"/>
      <c r="E67" s="380"/>
      <c r="F67" s="430">
        <f>SUM(F56:F66)</f>
        <v>568.8723592997737</v>
      </c>
      <c r="G67" s="433">
        <f>SUM(G56:G66)</f>
        <v>1</v>
      </c>
    </row>
    <row r="69" ht="21">
      <c r="B69" s="451" t="s">
        <v>680</v>
      </c>
    </row>
    <row r="70" spans="2:5" ht="18.75">
      <c r="B70" s="448" t="s">
        <v>138</v>
      </c>
      <c r="C70" s="221" t="s">
        <v>683</v>
      </c>
      <c r="D70" s="464" t="s">
        <v>681</v>
      </c>
      <c r="E70" t="s">
        <v>682</v>
      </c>
    </row>
    <row r="72" spans="2:3" ht="18.75">
      <c r="B72" s="449" t="s">
        <v>140</v>
      </c>
      <c r="C72" t="s">
        <v>689</v>
      </c>
    </row>
    <row r="73" spans="2:6" ht="15.75" customHeight="1">
      <c r="B73" s="449"/>
      <c r="C73" t="str">
        <f>IF(Mitigation!C12,Mitigation!D12,"")</f>
        <v>Cool Roofs/Green Roofs</v>
      </c>
      <c r="E73">
        <f>IF(Mitigation!C12,Mitigation!E12,"")</f>
        <v>5000</v>
      </c>
      <c r="F73" t="str">
        <f>IF(Mitigation!C12,Mitigation!$E$11,"")</f>
        <v>kwh/year reduced</v>
      </c>
    </row>
    <row r="74" spans="3:6" ht="15">
      <c r="C74">
        <f>IF(Mitigation!C18,Mitigation!D18,"")</f>
      </c>
      <c r="E74">
        <f>IF(Mitigation!C18,Mitigation!E18,"")</f>
      </c>
      <c r="F74">
        <f>IF(Mitigation!C18,Mitigation!$E$17,"")</f>
      </c>
    </row>
    <row r="75" spans="3:6" ht="15">
      <c r="C75">
        <f>IF(Mitigation!C19,Mitigation!D19,"")</f>
      </c>
      <c r="E75">
        <f>IF(Mitigation!C19,Mitigation!E19,"")</f>
      </c>
      <c r="F75">
        <f>IF(Mitigation!C19,Mitigation!$E$17,"")</f>
      </c>
    </row>
    <row r="76" spans="3:6" ht="15">
      <c r="C76">
        <f>IF(Mitigation!C20,Mitigation!D20,"")</f>
      </c>
      <c r="E76">
        <f>IF(Mitigation!C20,Mitigation!E20,"")</f>
      </c>
      <c r="F76">
        <f>IF(Mitigation!C20,Mitigation!$E$17,"")</f>
      </c>
    </row>
    <row r="78" spans="2:3" ht="18.75">
      <c r="B78" s="449" t="s">
        <v>330</v>
      </c>
      <c r="C78" t="s">
        <v>690</v>
      </c>
    </row>
    <row r="79" spans="3:6" ht="15">
      <c r="C79" t="str">
        <f>IF(Mitigation!C12,Mitigation!D12,"")</f>
        <v>Cool Roofs/Green Roofs</v>
      </c>
      <c r="E79">
        <f>IF(Mitigation!C12,Mitigation!F12,"")</f>
        <v>2</v>
      </c>
      <c r="F79">
        <f>IF(Mitigation!C20,Mitigation!$F$11,"")</f>
      </c>
    </row>
    <row r="80" spans="3:6" ht="15">
      <c r="C80">
        <f>IF(Mitigation!C8,Mitigation!D8,"")</f>
      </c>
      <c r="E80">
        <f>IF(Mitigation!C8,Mitigation!E8,"")</f>
      </c>
      <c r="F80">
        <f>IF(Mitigation!C8,Mitigation!$E$7,"")</f>
      </c>
    </row>
    <row r="81" spans="3:6" ht="15">
      <c r="C81">
        <f>IF(Mitigation!C9,Mitigation!D9,"")</f>
      </c>
      <c r="E81">
        <f>IF(Mitigation!C9,Mitigation!E9,"")</f>
      </c>
      <c r="F81">
        <f>IF(Mitigation!C9,Mitigation!$E$7,"")</f>
      </c>
    </row>
    <row r="83" spans="2:3" ht="18.75">
      <c r="B83" s="25" t="s">
        <v>684</v>
      </c>
      <c r="C83" t="s">
        <v>691</v>
      </c>
    </row>
    <row r="84" spans="3:6" ht="15">
      <c r="C84" t="str">
        <f>IF(Mitigation!C23,Mitigation!D23,"")</f>
        <v>Drought Tolerant Landscaping</v>
      </c>
      <c r="E84">
        <f>IF(Mitigation!C23,Mitigation!E23,"")</f>
        <v>10</v>
      </c>
      <c r="F84" t="str">
        <f>IF(Mitigation!C23,Mitigation!$E$22,"")</f>
        <v>% Reduction Outdoor Use</v>
      </c>
    </row>
    <row r="85" spans="3:6" ht="15">
      <c r="C85" t="str">
        <f>IF(Mitigation!C26,Mitigation!D26,"")</f>
        <v>Low Flush Toilets</v>
      </c>
      <c r="E85">
        <f>IF(Mitigation!C26,Mitigation!E26,"")</f>
        <v>2</v>
      </c>
      <c r="F85" t="str">
        <f>IF(Mitigation!C26,Mitigation!$E$25,"")</f>
        <v>% Reduction Indoor Use</v>
      </c>
    </row>
    <row r="87" spans="2:3" ht="18.75">
      <c r="B87" s="449" t="s">
        <v>141</v>
      </c>
      <c r="C87" t="s">
        <v>692</v>
      </c>
    </row>
    <row r="88" spans="3:6" ht="15">
      <c r="C88">
        <f>IF(Mitigation!C29,Mitigation!D29,"")</f>
      </c>
      <c r="E88">
        <f>IF(Mitigation!C29,Mitigation!E29,"")</f>
      </c>
      <c r="F88">
        <f>IF(Mitigation!C29,Mitigation!$E$28,"")</f>
      </c>
    </row>
    <row r="89" ht="15">
      <c r="B89" s="450"/>
    </row>
    <row r="90" spans="2:3" ht="18.75">
      <c r="B90" s="449" t="s">
        <v>685</v>
      </c>
      <c r="C90" t="s">
        <v>686</v>
      </c>
    </row>
    <row r="92" spans="2:3" ht="18.75">
      <c r="B92" s="449" t="s">
        <v>497</v>
      </c>
      <c r="C92" t="s">
        <v>686</v>
      </c>
    </row>
    <row r="94" spans="2:3" ht="18.75">
      <c r="B94" s="449" t="s">
        <v>496</v>
      </c>
      <c r="C94" t="s">
        <v>693</v>
      </c>
    </row>
    <row r="95" spans="3:6" ht="15">
      <c r="C95">
        <f>IF(Mitigation!C32,Mitigation!D32,"")</f>
      </c>
      <c r="E95">
        <f>IF(Mitigation!C32,Mitigation!E32,"")</f>
      </c>
      <c r="F95">
        <f>IF(Mitigation!C32,Mitigation!$E$31,"")</f>
      </c>
    </row>
    <row r="97" spans="2:3" ht="18.75">
      <c r="B97" s="449" t="s">
        <v>687</v>
      </c>
      <c r="C97" t="str">
        <f>IF(F65&lt;0,"Project includes tree planting to sequester GHG emissions.","Project does not include carbon sequestration through tree planting.")</f>
        <v>Project does not include carbon sequestration through tree planting.</v>
      </c>
    </row>
    <row r="99" spans="2:3" ht="18.75">
      <c r="B99" s="449" t="s">
        <v>688</v>
      </c>
      <c r="C99" t="str">
        <f>IF(D20&lt;0,"Project includes purchase of GHG emission offsets/credits.","Project does not include purchase of emission offsets/credits.")</f>
        <v>Project does not include purchase of emission offsets/credits.</v>
      </c>
    </row>
  </sheetData>
  <sheetProtection password="A20C" sheet="1" objects="1" scenarios="1"/>
  <mergeCells count="4">
    <mergeCell ref="E8:E9"/>
    <mergeCell ref="C7:C9"/>
    <mergeCell ref="D7:D9"/>
    <mergeCell ref="B31:C32"/>
  </mergeCells>
  <hyperlinks>
    <hyperlink ref="D70" location="'Transp. Detail Mit'!A1" display="'Transp. Detail Mit'!A1"/>
  </hyperlinks>
  <printOptions/>
  <pageMargins left="0.7" right="0.7" top="0.75" bottom="0.75" header="0.3" footer="0.3"/>
  <pageSetup horizontalDpi="600" verticalDpi="600" orientation="landscape" scale="89" r:id="rId2"/>
  <rowBreaks count="3" manualBreakCount="3">
    <brk id="29" max="255" man="1"/>
    <brk id="53" max="255" man="1"/>
    <brk id="68" max="255" man="1"/>
  </rowBreaks>
  <colBreaks count="2" manualBreakCount="2">
    <brk id="7" max="65535" man="1"/>
    <brk id="14" max="65535" man="1"/>
  </colBreaks>
  <drawing r:id="rId1"/>
</worksheet>
</file>

<file path=xl/worksheets/sheet4.xml><?xml version="1.0" encoding="utf-8"?>
<worksheet xmlns="http://schemas.openxmlformats.org/spreadsheetml/2006/main" xmlns:r="http://schemas.openxmlformats.org/officeDocument/2006/relationships">
  <sheetPr codeName="wksTransportationV">
    <tabColor theme="9" tint="-0.24997000396251678"/>
  </sheetPr>
  <dimension ref="A1:Z107"/>
  <sheetViews>
    <sheetView showGridLines="0" showRowColHeaders="0" zoomScale="80" zoomScaleNormal="80" zoomScalePageLayoutView="0" workbookViewId="0" topLeftCell="A1">
      <selection activeCell="A5" sqref="A5"/>
    </sheetView>
  </sheetViews>
  <sheetFormatPr defaultColWidth="9.140625" defaultRowHeight="15"/>
  <cols>
    <col min="1" max="1" width="3.57421875" style="0" customWidth="1"/>
    <col min="2" max="2" width="57.7109375" style="0" customWidth="1"/>
    <col min="3" max="4" width="12.7109375" style="0" customWidth="1"/>
    <col min="5" max="5" width="16.421875" style="0" customWidth="1"/>
    <col min="6" max="6" width="12.421875" style="0" customWidth="1"/>
    <col min="7" max="7" width="10.7109375" style="0" customWidth="1"/>
    <col min="8" max="8" width="54.7109375" style="0" customWidth="1"/>
    <col min="9" max="9" width="11.00390625" style="0" customWidth="1"/>
    <col min="10" max="10" width="10.7109375" style="0" customWidth="1"/>
    <col min="11" max="11" width="18.00390625" style="0" customWidth="1"/>
    <col min="13" max="14" width="12.7109375" style="0" customWidth="1"/>
    <col min="15" max="15" width="15.7109375" style="0" bestFit="1" customWidth="1"/>
  </cols>
  <sheetData>
    <row r="1" spans="2:18" ht="15">
      <c r="B1" s="26"/>
      <c r="Q1" s="26"/>
      <c r="R1" s="26"/>
    </row>
    <row r="3" spans="1:26" ht="26.25">
      <c r="A3" s="8"/>
      <c r="B3" s="614" t="s">
        <v>6</v>
      </c>
      <c r="C3" s="614"/>
      <c r="D3" s="614"/>
      <c r="E3" s="8"/>
      <c r="F3" s="8"/>
      <c r="G3" s="8"/>
      <c r="H3" s="8"/>
      <c r="I3" s="8"/>
      <c r="J3" s="8"/>
      <c r="K3" s="8"/>
      <c r="L3" s="8"/>
      <c r="M3" s="8"/>
      <c r="N3" s="8"/>
      <c r="O3" s="8"/>
      <c r="P3" s="8"/>
      <c r="Q3" s="8"/>
      <c r="R3" s="8"/>
      <c r="S3" s="8"/>
      <c r="T3" s="8"/>
      <c r="U3" s="8"/>
      <c r="V3" s="8"/>
      <c r="W3" s="8"/>
      <c r="X3" s="8"/>
      <c r="Y3" s="8"/>
      <c r="Z3" s="8"/>
    </row>
    <row r="4" spans="2:3" ht="15">
      <c r="B4" s="221" t="s">
        <v>706</v>
      </c>
      <c r="C4" t="str">
        <f>IF(+nrUseBaseline,"ON","OFF")</f>
        <v>ON</v>
      </c>
    </row>
    <row r="5" ht="15.75" thickBot="1">
      <c r="S5" s="26"/>
    </row>
    <row r="6" spans="2:19" ht="15.75">
      <c r="B6" s="228" t="s">
        <v>112</v>
      </c>
      <c r="C6" s="252">
        <f>nrProjectYear</f>
        <v>2012</v>
      </c>
      <c r="D6" s="248">
        <f>nrBaselineYear</f>
        <v>2011</v>
      </c>
      <c r="E6" s="230"/>
      <c r="H6" s="228" t="s">
        <v>238</v>
      </c>
      <c r="I6" s="248">
        <f>nrProjectYear</f>
        <v>2012</v>
      </c>
      <c r="J6" s="248">
        <f>nrBaselineYear</f>
        <v>2011</v>
      </c>
      <c r="K6" s="249"/>
      <c r="S6" s="26"/>
    </row>
    <row r="7" spans="2:11" ht="18.75">
      <c r="B7" s="239" t="s">
        <v>647</v>
      </c>
      <c r="C7" s="24"/>
      <c r="D7" s="232"/>
      <c r="E7" s="233"/>
      <c r="G7" s="232"/>
      <c r="H7" s="239" t="s">
        <v>648</v>
      </c>
      <c r="I7" s="250"/>
      <c r="J7" s="250"/>
      <c r="K7" s="242"/>
    </row>
    <row r="8" spans="2:11" ht="16.5" thickBot="1">
      <c r="B8" s="231"/>
      <c r="C8" s="234" t="s">
        <v>113</v>
      </c>
      <c r="D8" s="234" t="s">
        <v>114</v>
      </c>
      <c r="E8" s="235" t="s">
        <v>119</v>
      </c>
      <c r="G8" s="232"/>
      <c r="H8" s="231"/>
      <c r="I8" s="234" t="s">
        <v>113</v>
      </c>
      <c r="J8" s="234" t="s">
        <v>114</v>
      </c>
      <c r="K8" s="254" t="s">
        <v>119</v>
      </c>
    </row>
    <row r="9" spans="2:12" ht="15">
      <c r="B9" s="237" t="s">
        <v>628</v>
      </c>
      <c r="C9" s="240">
        <f>INDEX(nrUrbOpVehTPYUnMit,11)</f>
        <v>460.36</v>
      </c>
      <c r="D9" s="241">
        <f>IF(nrUseBaseline,INDEX(nrBaseOpVehTPYUnMit,11),0)</f>
        <v>0</v>
      </c>
      <c r="E9" s="242"/>
      <c r="G9" s="232"/>
      <c r="H9" s="237" t="s">
        <v>636</v>
      </c>
      <c r="I9" s="240">
        <f>IF(INDEX(nrUrbOpVehTPYMit,11)&gt;0,INDEX(nrUrbOpVehTPYMit,11),INDEX(nrUrbOpVehTPYUnMit,11))</f>
        <v>390.63</v>
      </c>
      <c r="J9" s="241">
        <f>IF(nrUseBaseline,INDEX(nrBaseOpVehTPYUnMit,11),0)</f>
        <v>0</v>
      </c>
      <c r="K9" s="242"/>
      <c r="L9" s="221"/>
    </row>
    <row r="10" spans="2:11" ht="15">
      <c r="B10" s="236"/>
      <c r="C10" s="243"/>
      <c r="D10" s="244"/>
      <c r="E10" s="242"/>
      <c r="G10" s="232"/>
      <c r="H10" s="231"/>
      <c r="I10" s="243"/>
      <c r="J10" s="244"/>
      <c r="K10" s="242"/>
    </row>
    <row r="11" spans="2:12" ht="15">
      <c r="B11" s="236" t="s">
        <v>629</v>
      </c>
      <c r="C11" s="243">
        <f>+C9*nrMetricTonAdj</f>
        <v>417.7495462794917</v>
      </c>
      <c r="D11" s="244">
        <f>+D9*nrMetricTonAdj</f>
        <v>0</v>
      </c>
      <c r="E11" s="242"/>
      <c r="G11" s="232"/>
      <c r="H11" s="236" t="s">
        <v>635</v>
      </c>
      <c r="I11" s="243">
        <f>+I9*nrMetricTonAdj</f>
        <v>354.4736842105262</v>
      </c>
      <c r="J11" s="244">
        <f>+J9*nrMetricTonAdj</f>
        <v>0</v>
      </c>
      <c r="K11" s="242"/>
      <c r="L11" s="221"/>
    </row>
    <row r="12" spans="2:11" ht="15">
      <c r="B12" s="231"/>
      <c r="C12" s="243"/>
      <c r="D12" s="244"/>
      <c r="E12" s="242"/>
      <c r="G12" s="232"/>
      <c r="H12" s="231"/>
      <c r="I12" s="243"/>
      <c r="J12" s="244"/>
      <c r="K12" s="242"/>
    </row>
    <row r="13" spans="2:12" ht="15">
      <c r="B13" s="236" t="s">
        <v>630</v>
      </c>
      <c r="C13" s="243">
        <f>IF(nrProjectYear&lt;2009,C11,SUM(C39,E39,F39,G39,H39))</f>
        <v>405.8455829837965</v>
      </c>
      <c r="D13" s="244">
        <f>IF(nrBaselineYear&lt;2009,D11,SUM(C40,E40,F40,G40,H40))</f>
        <v>0</v>
      </c>
      <c r="E13" s="242"/>
      <c r="G13" s="232"/>
      <c r="H13" s="236" t="s">
        <v>630</v>
      </c>
      <c r="I13" s="243">
        <f>IF(nrProjectYear&lt;2009,I11,SUM(Transportation!C41,Transportation!E41,Transportation!F41,Transportation!G41,Transportation!H41))</f>
        <v>344.37279537961683</v>
      </c>
      <c r="J13" s="244">
        <f>IF(nrBaselineYear&lt;2009,J11,SUM(Transportation!C42,Transportation!E42,Transportation!F42,Transportation!G42,Transportation!H42))</f>
        <v>0</v>
      </c>
      <c r="K13" s="242"/>
      <c r="L13" s="221"/>
    </row>
    <row r="14" spans="2:11" ht="15">
      <c r="B14" s="231"/>
      <c r="C14" s="243"/>
      <c r="D14" s="244"/>
      <c r="E14" s="242"/>
      <c r="G14" s="232"/>
      <c r="H14" s="231"/>
      <c r="I14" s="243"/>
      <c r="J14" s="244"/>
      <c r="K14" s="242"/>
    </row>
    <row r="15" spans="2:12" ht="15">
      <c r="B15" s="236" t="s">
        <v>631</v>
      </c>
      <c r="C15" s="243">
        <f>+C13*1.05263157894737</f>
        <v>427.20587682504953</v>
      </c>
      <c r="D15" s="244">
        <f>+D13*1.05263157894737</f>
        <v>0</v>
      </c>
      <c r="E15" s="242"/>
      <c r="G15" s="232"/>
      <c r="H15" s="236" t="s">
        <v>631</v>
      </c>
      <c r="I15" s="243">
        <f>+I13*1.05263157894737</f>
        <v>362.4976793469656</v>
      </c>
      <c r="J15" s="244">
        <f>+J13*1.05263157894737</f>
        <v>0</v>
      </c>
      <c r="K15" s="242"/>
      <c r="L15" s="221"/>
    </row>
    <row r="16" spans="2:11" ht="15">
      <c r="B16" s="236"/>
      <c r="C16" s="243"/>
      <c r="D16" s="244"/>
      <c r="E16" s="242"/>
      <c r="G16" s="232"/>
      <c r="H16" s="231"/>
      <c r="I16" s="243"/>
      <c r="J16" s="244"/>
      <c r="K16" s="242"/>
    </row>
    <row r="17" spans="2:12" ht="15.75" thickBot="1">
      <c r="B17" s="238" t="s">
        <v>632</v>
      </c>
      <c r="C17" s="245">
        <f>IF(nrProjectYear&lt;2010,C15,(((100-VLOOKUP(nrProjectYear,nrLCFLookup,3))/100)*C15))</f>
        <v>425.66793566847934</v>
      </c>
      <c r="D17" s="246">
        <f>IF(nrBaselineYear&lt;2010,D15,(((100-VLOOKUP(nrBaselineYear,nrLCFLookup,3))/100)*D15))</f>
        <v>0</v>
      </c>
      <c r="E17" s="242"/>
      <c r="G17" s="232"/>
      <c r="H17" s="238" t="s">
        <v>637</v>
      </c>
      <c r="I17" s="245">
        <f>IF(nrProjectYear&lt;2010,I15,(((100-VLOOKUP(nrProjectYear,nrLCFLookup,3))/100)*I15))</f>
        <v>361.1926877013165</v>
      </c>
      <c r="J17" s="246">
        <f>IF(nrBaselineYear&lt;2010,J15,(((100-VLOOKUP(nrBaselineYear,nrLCFLookup,3))/100)*J15))</f>
        <v>0</v>
      </c>
      <c r="K17" s="242"/>
      <c r="L17" s="221"/>
    </row>
    <row r="18" spans="2:11" ht="16.5" thickBot="1">
      <c r="B18" s="238" t="s">
        <v>626</v>
      </c>
      <c r="C18" s="247"/>
      <c r="D18" s="247"/>
      <c r="E18" s="251">
        <f>IF(nrUseBaseline,+C17-D17,C17)</f>
        <v>425.66793566847934</v>
      </c>
      <c r="G18" s="232"/>
      <c r="H18" s="238" t="s">
        <v>626</v>
      </c>
      <c r="I18" s="247"/>
      <c r="J18" s="247"/>
      <c r="K18" s="251">
        <f>IF(nrUseBaseline,+I17-J17,I17)</f>
        <v>361.1926877013165</v>
      </c>
    </row>
    <row r="21" ht="15">
      <c r="B21" t="s">
        <v>734</v>
      </c>
    </row>
    <row r="22" ht="15">
      <c r="B22" s="512" t="s">
        <v>732</v>
      </c>
    </row>
    <row r="24" ht="15">
      <c r="B24" s="227" t="s">
        <v>76</v>
      </c>
    </row>
    <row r="25" spans="2:11" ht="6.75" customHeight="1">
      <c r="B25" s="613" t="s">
        <v>77</v>
      </c>
      <c r="C25" s="613"/>
      <c r="D25" s="613"/>
      <c r="E25" s="613"/>
      <c r="F25" s="613"/>
      <c r="G25" s="613"/>
      <c r="H25" s="613"/>
      <c r="I25" s="613"/>
      <c r="J25" s="613"/>
      <c r="K25" s="613"/>
    </row>
    <row r="26" spans="2:11" ht="15">
      <c r="B26" s="613"/>
      <c r="C26" s="613"/>
      <c r="D26" s="613"/>
      <c r="E26" s="613"/>
      <c r="F26" s="613"/>
      <c r="G26" s="613"/>
      <c r="H26" s="613"/>
      <c r="I26" s="613"/>
      <c r="J26" s="613"/>
      <c r="K26" s="613"/>
    </row>
    <row r="27" spans="2:11" ht="15">
      <c r="B27" s="613"/>
      <c r="C27" s="613"/>
      <c r="D27" s="613"/>
      <c r="E27" s="613"/>
      <c r="F27" s="613"/>
      <c r="G27" s="613"/>
      <c r="H27" s="613"/>
      <c r="I27" s="613"/>
      <c r="J27" s="613"/>
      <c r="K27" s="613"/>
    </row>
    <row r="29" ht="15">
      <c r="B29" t="s">
        <v>574</v>
      </c>
    </row>
    <row r="30" ht="15">
      <c r="B30" s="464" t="s">
        <v>58</v>
      </c>
    </row>
    <row r="31" ht="15">
      <c r="B31" s="464" t="s">
        <v>61</v>
      </c>
    </row>
    <row r="32" ht="15">
      <c r="B32" s="26"/>
    </row>
    <row r="33" ht="15">
      <c r="B33" s="26"/>
    </row>
    <row r="35" spans="2:23" ht="15">
      <c r="B35" s="28"/>
      <c r="C35" s="29"/>
      <c r="D35" s="43"/>
      <c r="E35" s="29"/>
      <c r="G35" s="30"/>
      <c r="H35" s="30"/>
      <c r="I35" s="30"/>
      <c r="J35" s="30"/>
      <c r="K35" s="30"/>
      <c r="L35" s="30"/>
      <c r="M35" s="30"/>
      <c r="N35" s="30"/>
      <c r="O35" s="30"/>
      <c r="P35" s="30"/>
      <c r="Q35" s="30"/>
      <c r="R35" s="30"/>
      <c r="S35" s="30"/>
      <c r="T35" s="30"/>
      <c r="U35" s="30"/>
      <c r="V35" s="30"/>
      <c r="W35" s="30"/>
    </row>
    <row r="36" spans="2:23" ht="15">
      <c r="B36" s="28"/>
      <c r="D36" s="31"/>
      <c r="E36" s="31"/>
      <c r="F36" s="30"/>
      <c r="G36" s="32"/>
      <c r="H36" s="32"/>
      <c r="I36" s="32"/>
      <c r="J36" s="32"/>
      <c r="L36" s="32"/>
      <c r="M36" s="30"/>
      <c r="N36" s="30"/>
      <c r="O36" s="30"/>
      <c r="P36" s="30"/>
      <c r="Q36" s="30"/>
      <c r="R36" s="30"/>
      <c r="S36" s="30"/>
      <c r="T36" s="30"/>
      <c r="U36" s="30"/>
      <c r="V36" s="30"/>
      <c r="W36" s="30"/>
    </row>
    <row r="37" spans="2:23" ht="60">
      <c r="B37" s="189"/>
      <c r="C37" s="198" t="s">
        <v>78</v>
      </c>
      <c r="D37" s="198" t="s">
        <v>79</v>
      </c>
      <c r="E37" s="190" t="s">
        <v>80</v>
      </c>
      <c r="F37" s="198" t="s">
        <v>81</v>
      </c>
      <c r="G37" s="198" t="s">
        <v>81</v>
      </c>
      <c r="H37" s="198" t="s">
        <v>81</v>
      </c>
      <c r="I37" s="198" t="s">
        <v>80</v>
      </c>
      <c r="K37" s="33"/>
      <c r="L37" s="32"/>
      <c r="M37" s="30"/>
      <c r="N37" s="30"/>
      <c r="O37" s="30"/>
      <c r="P37" s="30"/>
      <c r="Q37" s="30"/>
      <c r="R37" s="30"/>
      <c r="S37" s="30"/>
      <c r="T37" s="30"/>
      <c r="U37" s="30"/>
      <c r="V37" s="30"/>
      <c r="W37" s="30"/>
    </row>
    <row r="38" spans="2:23" ht="30">
      <c r="B38" s="189"/>
      <c r="C38" s="198" t="s">
        <v>82</v>
      </c>
      <c r="D38" s="198" t="s">
        <v>83</v>
      </c>
      <c r="E38" s="190" t="s">
        <v>84</v>
      </c>
      <c r="F38" s="198" t="s">
        <v>85</v>
      </c>
      <c r="G38" s="198" t="s">
        <v>86</v>
      </c>
      <c r="H38" s="198" t="s">
        <v>87</v>
      </c>
      <c r="I38" s="198" t="s">
        <v>88</v>
      </c>
      <c r="K38" s="32"/>
      <c r="L38" s="32"/>
      <c r="M38" s="30"/>
      <c r="N38" s="30"/>
      <c r="O38" s="30"/>
      <c r="P38" s="30"/>
      <c r="Q38" s="30"/>
      <c r="R38" s="30"/>
      <c r="S38" s="30"/>
      <c r="T38" s="30"/>
      <c r="U38" s="30"/>
      <c r="V38" s="30"/>
      <c r="W38" s="30"/>
    </row>
    <row r="39" spans="2:23" ht="15">
      <c r="B39" s="189" t="s">
        <v>115</v>
      </c>
      <c r="C39" s="190">
        <f>+C11*VLOOKUP(nrProjectYear,nrPavleyLookup,7)</f>
        <v>69.89567957883288</v>
      </c>
      <c r="D39" s="190">
        <f>+C11*VLOOKUP(nrProjectYear,nrPavleyLookup,6)</f>
        <v>347.85386670065884</v>
      </c>
      <c r="E39" s="190">
        <f>+C11*VLOOKUP(nrProjectYear,nrPavleyLookup,6)*(VLOOKUP(nrProjectYear,nrPavleyLookup,2)/VLOOKUP(nrProjectYear,nrPavleyLookup,6))*(1-VLOOKUP(nrProjectYear,nrPavleyLookup,8))</f>
        <v>167.87867291728818</v>
      </c>
      <c r="F39" s="190">
        <f>+C11*VLOOKUP(nrProjectYear,nrPavleyLookup,6)*(VLOOKUP(nrProjectYear,nrPavleyLookup,3)/VLOOKUP(nrProjectYear,nrPavleyLookup,6))*(1-VLOOKUP(nrProjectYear,nrPavleyLookup,9))</f>
        <v>50.52806190193727</v>
      </c>
      <c r="G39" s="190">
        <f>+C11*VLOOKUP(nrProjectYear,nrPavleyLookup,6)*(VLOOKUP(nrProjectYear,nrPavleyLookup,4)/VLOOKUP(nrProjectYear,nrPavleyLookup,6))*(1-VLOOKUP(nrProjectYear,nrPavleyLookup,10))</f>
        <v>79.24108400725022</v>
      </c>
      <c r="H39" s="190">
        <f>+C11*VLOOKUP(nrProjectYear,nrPavleyLookup,6)*(VLOOKUP(nrProjectYear,nrPavleyLookup,5)/VLOOKUP(nrProjectYear,nrPavleyLookup,6))*(1-VLOOKUP(nrProjectYear,nrPavleyLookup,11))</f>
        <v>38.30208457848787</v>
      </c>
      <c r="I39" s="198">
        <f>SUM(E39:H39)</f>
        <v>335.94990340496355</v>
      </c>
      <c r="K39" s="32"/>
      <c r="L39" s="32"/>
      <c r="M39" s="30"/>
      <c r="N39" s="30"/>
      <c r="O39" s="30"/>
      <c r="P39" s="30"/>
      <c r="Q39" s="30"/>
      <c r="R39" s="30"/>
      <c r="S39" s="30"/>
      <c r="T39" s="30"/>
      <c r="U39" s="30"/>
      <c r="V39" s="30"/>
      <c r="W39" s="30"/>
    </row>
    <row r="40" spans="2:23" ht="15">
      <c r="B40" s="189" t="s">
        <v>116</v>
      </c>
      <c r="C40" s="190">
        <f>+D11*VLOOKUP(nrBaselineYear,nrPavleyLookup,7)</f>
        <v>0</v>
      </c>
      <c r="D40" s="190">
        <f>+D11*VLOOKUP(nrBaselineYear,nrPavleyLookup,6)</f>
        <v>0</v>
      </c>
      <c r="E40" s="190">
        <f>+D11*VLOOKUP(nrBaselineYear,nrPavleyLookup,6)*(VLOOKUP(nrBaselineYear,nrPavleyLookup,2)/VLOOKUP(nrBaselineYear,nrPavleyLookup,6))*(1-VLOOKUP(nrBaselineYear,nrPavleyLookup,8))</f>
        <v>0</v>
      </c>
      <c r="F40" s="190">
        <f>+D11*VLOOKUP(nrBaselineYear,nrPavleyLookup,6)*(VLOOKUP(nrBaselineYear,nrPavleyLookup,3)/VLOOKUP(nrBaselineYear,nrPavleyLookup,6))*(1-VLOOKUP(nrBaselineYear,nrPavleyLookup,9))</f>
        <v>0</v>
      </c>
      <c r="G40" s="190">
        <f>+D11*VLOOKUP(nrBaselineYear,nrPavleyLookup,6)*(VLOOKUP(nrBaselineYear,nrPavleyLookup,4)/VLOOKUP(nrBaselineYear,nrPavleyLookup,6))*(1-VLOOKUP(nrBaselineYear,nrPavleyLookup,10))</f>
        <v>0</v>
      </c>
      <c r="H40" s="190">
        <f>+D11*VLOOKUP(nrBaselineYear,nrPavleyLookup,6)*(VLOOKUP(nrBaselineYear,nrPavleyLookup,5)/VLOOKUP(nrBaselineYear,nrPavleyLookup,6))*(1-VLOOKUP(nrBaselineYear,nrPavleyLookup,11))</f>
        <v>0</v>
      </c>
      <c r="I40" s="198">
        <f>SUM(E40:H40)</f>
        <v>0</v>
      </c>
      <c r="J40" s="32"/>
      <c r="K40" s="32"/>
      <c r="L40" s="32"/>
      <c r="M40" s="30"/>
      <c r="N40" s="30"/>
      <c r="O40" s="30"/>
      <c r="P40" s="30"/>
      <c r="Q40" s="30"/>
      <c r="R40" s="30"/>
      <c r="S40" s="30"/>
      <c r="T40" s="30"/>
      <c r="U40" s="30"/>
      <c r="V40" s="30"/>
      <c r="W40" s="30"/>
    </row>
    <row r="41" spans="2:23" ht="15">
      <c r="B41" s="189" t="s">
        <v>117</v>
      </c>
      <c r="C41" s="190">
        <f>+Transportation!I11*VLOOKUP(nrProjectYear,nrPavleyLookup,7)</f>
        <v>59.30869170622879</v>
      </c>
      <c r="D41" s="190">
        <f>+Transportation!I11*VLOOKUP(nrProjectYear,nrPavleyLookup,6)</f>
        <v>295.1649925042974</v>
      </c>
      <c r="E41" s="190">
        <f>+Transportation!I11*VLOOKUP(nrProjectYear,nrPavleyLookup,6)*(VLOOKUP(nrProjectYear,nrPavleyLookup,2)/VLOOKUP(nrProjectYear,nrPavleyLookup,6))*(1-VLOOKUP(nrProjectYear,nrPavleyLookup,8))</f>
        <v>142.45035624659025</v>
      </c>
      <c r="F41" s="190">
        <f>+Transportation!I11*VLOOKUP(nrProjectYear,nrPavleyLookup,6)*(VLOOKUP(nrProjectYear,nrPavleyLookup,3)/VLOOKUP(nrProjectYear,nrPavleyLookup,6))*(1-VLOOKUP(nrProjectYear,nrPavleyLookup,9))</f>
        <v>42.87465640097697</v>
      </c>
      <c r="G41" s="190">
        <f>+Transportation!I11*VLOOKUP(nrProjectYear,nrPavleyLookup,6)*(VLOOKUP(nrProjectYear,nrPavleyLookup,4)/VLOOKUP(nrProjectYear,nrPavleyLookup,6))*(1-VLOOKUP(nrProjectYear,nrPavleyLookup,10))</f>
        <v>67.23856252878649</v>
      </c>
      <c r="H41" s="190">
        <f>+Transportation!I11*VLOOKUP(nrProjectYear,nrPavleyLookup,6)*(VLOOKUP(nrProjectYear,nrPavleyLookup,5)/VLOOKUP(nrProjectYear,nrPavleyLookup,6))*(1-VLOOKUP(nrProjectYear,nrPavleyLookup,11))</f>
        <v>32.50052849703431</v>
      </c>
      <c r="I41" s="198">
        <f>SUM(E41:H41)</f>
        <v>285.064103673388</v>
      </c>
      <c r="J41" s="32"/>
      <c r="K41" s="32"/>
      <c r="L41" s="32"/>
      <c r="M41" s="30"/>
      <c r="N41" s="30"/>
      <c r="O41" s="30"/>
      <c r="P41" s="30"/>
      <c r="Q41" s="30"/>
      <c r="R41" s="30"/>
      <c r="S41" s="30"/>
      <c r="T41" s="30"/>
      <c r="U41" s="30"/>
      <c r="V41" s="30"/>
      <c r="W41" s="30"/>
    </row>
    <row r="42" spans="2:23" ht="15">
      <c r="B42" s="189" t="s">
        <v>118</v>
      </c>
      <c r="C42" s="190">
        <f>+Transportation!J11*VLOOKUP(nrBaselineYear,nrPavleyLookup,7)</f>
        <v>0</v>
      </c>
      <c r="D42" s="190">
        <f>+Transportation!J11*VLOOKUP(nrBaselineYear,nrPavleyLookup,6)</f>
        <v>0</v>
      </c>
      <c r="E42" s="190">
        <f>+Transportation!J11*VLOOKUP(nrBaselineYear,nrPavleyLookup,6)*(VLOOKUP(nrBaselineYear,nrPavleyLookup,2)/VLOOKUP(nrBaselineYear,nrPavleyLookup,6))*(1-VLOOKUP(nrBaselineYear,nrPavleyLookup,8))</f>
        <v>0</v>
      </c>
      <c r="F42" s="190">
        <f>+Transportation!J11*VLOOKUP(nrBaselineYear,nrPavleyLookup,6)*(VLOOKUP(nrBaselineYear,nrPavleyLookup,3)/VLOOKUP(nrBaselineYear,nrPavleyLookup,6))*(1-VLOOKUP(nrBaselineYear,nrPavleyLookup,9))</f>
        <v>0</v>
      </c>
      <c r="G42" s="190">
        <f>+Transportation!J11*VLOOKUP(nrBaselineYear,nrPavleyLookup,6)*(VLOOKUP(nrBaselineYear,nrPavleyLookup,4)/VLOOKUP(nrBaselineYear,nrPavleyLookup,6))*(1-VLOOKUP(nrBaselineYear,nrPavleyLookup,10))</f>
        <v>0</v>
      </c>
      <c r="H42" s="190">
        <f>+Transportation!J11*VLOOKUP(nrBaselineYear,nrPavleyLookup,6)*(VLOOKUP(nrBaselineYear,nrPavleyLookup,5)/VLOOKUP(nrBaselineYear,nrPavleyLookup,6))*(1-VLOOKUP(nrBaselineYear,nrPavleyLookup,11))</f>
        <v>0</v>
      </c>
      <c r="I42" s="198">
        <f>SUM(E42:H42)</f>
        <v>0</v>
      </c>
      <c r="J42" s="30"/>
      <c r="L42" s="30"/>
      <c r="M42" s="30"/>
      <c r="N42" s="30"/>
      <c r="O42" s="30"/>
      <c r="P42" s="30"/>
      <c r="Q42" s="30"/>
      <c r="R42" s="30"/>
      <c r="S42" s="30"/>
      <c r="T42" s="30"/>
      <c r="U42" s="30"/>
      <c r="V42" s="30"/>
      <c r="W42" s="30"/>
    </row>
    <row r="43" spans="2:23" ht="15">
      <c r="B43" s="30"/>
      <c r="C43" s="30"/>
      <c r="D43" s="30"/>
      <c r="E43" s="30"/>
      <c r="F43" s="30"/>
      <c r="G43" s="30"/>
      <c r="H43" s="30"/>
      <c r="I43" s="30"/>
      <c r="J43" s="30"/>
      <c r="K43" s="30"/>
      <c r="L43" s="30"/>
      <c r="M43" s="30"/>
      <c r="N43" s="30"/>
      <c r="O43" s="30"/>
      <c r="P43" s="30"/>
      <c r="Q43" s="30"/>
      <c r="R43" s="30"/>
      <c r="S43" s="30"/>
      <c r="T43" s="30"/>
      <c r="U43" s="30"/>
      <c r="V43" s="30"/>
      <c r="W43" s="30"/>
    </row>
    <row r="44" spans="2:23" ht="15">
      <c r="B44" s="35"/>
      <c r="C44" s="30"/>
      <c r="D44" s="30"/>
      <c r="E44" s="31"/>
      <c r="F44" s="30"/>
      <c r="G44" s="30"/>
      <c r="H44" s="30"/>
      <c r="I44" s="30"/>
      <c r="J44" s="30"/>
      <c r="K44" s="30"/>
      <c r="L44" s="30"/>
      <c r="M44" s="30"/>
      <c r="N44" s="30"/>
      <c r="O44" s="30"/>
      <c r="P44" s="30"/>
      <c r="Q44" s="30"/>
      <c r="R44" s="30"/>
      <c r="S44" s="30"/>
      <c r="T44" s="30"/>
      <c r="U44" s="30"/>
      <c r="V44" s="30"/>
      <c r="W44" s="30"/>
    </row>
    <row r="45" spans="2:23" ht="15">
      <c r="B45" s="36" t="s">
        <v>89</v>
      </c>
      <c r="C45" s="30"/>
      <c r="D45" s="30"/>
      <c r="E45" s="30"/>
      <c r="F45" s="30"/>
      <c r="G45" s="30"/>
      <c r="H45" s="30"/>
      <c r="I45" s="30"/>
      <c r="J45" s="30"/>
      <c r="K45" s="30"/>
      <c r="L45" s="30"/>
      <c r="M45" s="30"/>
      <c r="N45" s="30"/>
      <c r="O45" s="30"/>
      <c r="P45" s="30"/>
      <c r="Q45" s="30"/>
      <c r="R45" s="30"/>
      <c r="S45" s="30"/>
      <c r="T45" s="30"/>
      <c r="U45" s="30"/>
      <c r="V45" s="30"/>
      <c r="W45" s="30"/>
    </row>
    <row r="46" spans="2:23" ht="15">
      <c r="B46" s="189"/>
      <c r="C46" s="189"/>
      <c r="D46" s="189"/>
      <c r="E46" s="189"/>
      <c r="F46" s="189"/>
      <c r="G46" s="189"/>
      <c r="H46" s="189"/>
      <c r="I46" s="189"/>
      <c r="J46" s="189"/>
      <c r="K46" s="189"/>
      <c r="L46" s="189"/>
      <c r="M46" s="189">
        <v>12</v>
      </c>
      <c r="N46" s="189">
        <v>13</v>
      </c>
      <c r="O46" s="189">
        <v>14</v>
      </c>
      <c r="P46" s="189">
        <v>15</v>
      </c>
      <c r="Q46" s="189">
        <v>16</v>
      </c>
      <c r="R46" s="30"/>
      <c r="S46" s="30"/>
      <c r="T46" s="30"/>
      <c r="U46" s="30"/>
      <c r="V46" s="30"/>
      <c r="W46" s="30"/>
    </row>
    <row r="47" spans="2:23" ht="55.5" customHeight="1">
      <c r="B47" s="190" t="s">
        <v>56</v>
      </c>
      <c r="C47" s="198" t="s">
        <v>90</v>
      </c>
      <c r="D47" s="198" t="s">
        <v>91</v>
      </c>
      <c r="E47" s="198" t="s">
        <v>92</v>
      </c>
      <c r="F47" s="198" t="s">
        <v>93</v>
      </c>
      <c r="G47" s="198" t="s">
        <v>94</v>
      </c>
      <c r="H47" s="198" t="s">
        <v>95</v>
      </c>
      <c r="I47" s="198" t="s">
        <v>96</v>
      </c>
      <c r="J47" s="198" t="s">
        <v>97</v>
      </c>
      <c r="K47" s="198" t="s">
        <v>98</v>
      </c>
      <c r="L47" s="198" t="s">
        <v>99</v>
      </c>
      <c r="M47" s="198" t="s">
        <v>84</v>
      </c>
      <c r="N47" s="189"/>
      <c r="O47" s="189"/>
      <c r="P47" s="189"/>
      <c r="Q47" s="189"/>
      <c r="R47" s="30"/>
      <c r="S47" s="30"/>
      <c r="T47" s="30"/>
      <c r="U47" s="30"/>
      <c r="V47" s="30"/>
      <c r="W47" s="30"/>
    </row>
    <row r="48" spans="2:23" ht="15">
      <c r="B48" s="200">
        <v>2009</v>
      </c>
      <c r="C48" s="214">
        <v>0.4159413322037488</v>
      </c>
      <c r="D48" s="214">
        <v>0.12334777083553955</v>
      </c>
      <c r="E48" s="214">
        <v>0.1961486815630626</v>
      </c>
      <c r="F48" s="214">
        <v>0.09712114794027321</v>
      </c>
      <c r="G48" s="214">
        <f>SUM(C48:F48)</f>
        <v>0.8325589325426241</v>
      </c>
      <c r="H48" s="214">
        <v>0.16744106745737586</v>
      </c>
      <c r="I48" s="214">
        <v>0</v>
      </c>
      <c r="J48" s="214">
        <v>0</v>
      </c>
      <c r="K48" s="214">
        <v>0.0007039426486530845</v>
      </c>
      <c r="L48" s="214">
        <v>0.0007950461719631671</v>
      </c>
      <c r="M48" s="204">
        <f>+I48*(1-C48)</f>
        <v>0</v>
      </c>
      <c r="N48" s="204">
        <f aca="true" t="shared" si="0" ref="N48:P63">+J48*(1-D48)</f>
        <v>0</v>
      </c>
      <c r="O48" s="204">
        <f t="shared" si="0"/>
        <v>0.0005658652262237717</v>
      </c>
      <c r="P48" s="204">
        <f t="shared" si="0"/>
        <v>0.0007178303750765845</v>
      </c>
      <c r="Q48" s="204">
        <f>SUM(M48:P48)</f>
        <v>0.0012836956013003564</v>
      </c>
      <c r="R48" s="30" t="s">
        <v>100</v>
      </c>
      <c r="S48" s="30"/>
      <c r="T48" s="30"/>
      <c r="U48" s="30"/>
      <c r="V48" s="30"/>
      <c r="W48" s="30"/>
    </row>
    <row r="49" spans="2:23" ht="15">
      <c r="B49" s="200">
        <v>2010</v>
      </c>
      <c r="C49" s="214">
        <v>0.4172089927680537</v>
      </c>
      <c r="D49" s="214">
        <v>0.12387097788491773</v>
      </c>
      <c r="E49" s="214">
        <v>0.19543506969919294</v>
      </c>
      <c r="F49" s="214">
        <v>0.09606082171680118</v>
      </c>
      <c r="G49" s="214">
        <v>0.8325758620689655</v>
      </c>
      <c r="H49" s="214">
        <v>0.16742413793103453</v>
      </c>
      <c r="I49" s="214">
        <v>0.0035021594783287207</v>
      </c>
      <c r="J49" s="214">
        <v>0.002521525265832553</v>
      </c>
      <c r="K49" s="214">
        <v>0.0045113768511556625</v>
      </c>
      <c r="L49" s="214">
        <v>0.00482749393545974</v>
      </c>
      <c r="M49" s="204">
        <f aca="true" t="shared" si="1" ref="M49:M63">+I49*(1-C49)</f>
        <v>0.0020410270498621027</v>
      </c>
      <c r="N49" s="204">
        <f t="shared" si="0"/>
        <v>0.0022091814653923477</v>
      </c>
      <c r="O49" s="204">
        <f t="shared" si="0"/>
        <v>0.00362969560181073</v>
      </c>
      <c r="P49" s="204">
        <f t="shared" si="0"/>
        <v>0.004363760901186602</v>
      </c>
      <c r="Q49" s="204">
        <f aca="true" t="shared" si="2" ref="Q49:Q63">SUM(M49:P49)</f>
        <v>0.012243665018251783</v>
      </c>
      <c r="R49" s="30" t="s">
        <v>101</v>
      </c>
      <c r="S49" s="30"/>
      <c r="T49" s="30"/>
      <c r="U49" s="30"/>
      <c r="V49" s="30"/>
      <c r="W49" s="30"/>
    </row>
    <row r="50" spans="2:23" ht="15">
      <c r="B50" s="200">
        <v>2011</v>
      </c>
      <c r="C50" s="214">
        <v>0.4182600269457975</v>
      </c>
      <c r="D50" s="214">
        <v>0.12445310394859571</v>
      </c>
      <c r="E50" s="214">
        <v>0.19501647839154315</v>
      </c>
      <c r="F50" s="214">
        <v>0.0949552492486268</v>
      </c>
      <c r="G50" s="214">
        <v>0.8326848585345632</v>
      </c>
      <c r="H50" s="214">
        <v>0.1673151414654368</v>
      </c>
      <c r="I50" s="214">
        <v>0.017515375474101605</v>
      </c>
      <c r="J50" s="214">
        <v>0.013401900157222231</v>
      </c>
      <c r="K50" s="214">
        <v>0.013126951332667983</v>
      </c>
      <c r="L50" s="214">
        <v>0.012890643786361226</v>
      </c>
      <c r="M50" s="204">
        <f t="shared" si="1"/>
        <v>0.010189394056338109</v>
      </c>
      <c r="N50" s="204">
        <f t="shared" si="0"/>
        <v>0.011733992083846753</v>
      </c>
      <c r="O50" s="204">
        <f t="shared" si="0"/>
        <v>0.010566979511753899</v>
      </c>
      <c r="P50" s="204">
        <f t="shared" si="0"/>
        <v>0.011666609492652035</v>
      </c>
      <c r="Q50" s="204">
        <f t="shared" si="2"/>
        <v>0.0441569751445908</v>
      </c>
      <c r="R50" s="30" t="s">
        <v>102</v>
      </c>
      <c r="S50" s="30"/>
      <c r="T50" s="30"/>
      <c r="U50" s="30"/>
      <c r="V50" s="30"/>
      <c r="W50" s="30"/>
    </row>
    <row r="51" spans="2:23" ht="15">
      <c r="B51" s="200">
        <v>2012</v>
      </c>
      <c r="C51" s="214">
        <v>0.41892269888399714</v>
      </c>
      <c r="D51" s="214">
        <v>0.12504269478857377</v>
      </c>
      <c r="E51" s="214">
        <v>0.19473983823077712</v>
      </c>
      <c r="F51" s="214">
        <v>0.09397997337974813</v>
      </c>
      <c r="G51" s="214">
        <v>0.8326852052830962</v>
      </c>
      <c r="H51" s="214">
        <v>0.16731479471690386</v>
      </c>
      <c r="I51" s="214">
        <v>0.040719430528460866</v>
      </c>
      <c r="J51" s="214">
        <v>0.032706367437107586</v>
      </c>
      <c r="K51" s="214">
        <v>0.02595366583176658</v>
      </c>
      <c r="L51" s="214">
        <v>0.024401539324878114</v>
      </c>
      <c r="M51" s="204">
        <f t="shared" si="1"/>
        <v>0.023661136794458613</v>
      </c>
      <c r="N51" s="204">
        <f t="shared" si="0"/>
        <v>0.028616675116026394</v>
      </c>
      <c r="O51" s="204">
        <f t="shared" si="0"/>
        <v>0.02089945314619271</v>
      </c>
      <c r="P51" s="204">
        <f t="shared" si="0"/>
        <v>0.02210828330870119</v>
      </c>
      <c r="Q51" s="204">
        <f t="shared" si="2"/>
        <v>0.09528554836537889</v>
      </c>
      <c r="R51" s="30" t="s">
        <v>103</v>
      </c>
      <c r="S51" s="30"/>
      <c r="T51" s="30"/>
      <c r="U51" s="30"/>
      <c r="V51" s="30"/>
      <c r="W51" s="30"/>
    </row>
    <row r="52" spans="2:23" ht="15">
      <c r="B52" s="200">
        <v>2013</v>
      </c>
      <c r="C52" s="214">
        <v>0.41935678188801295</v>
      </c>
      <c r="D52" s="214">
        <v>0.12564432989690721</v>
      </c>
      <c r="E52" s="214">
        <v>0.19459672528805338</v>
      </c>
      <c r="F52" s="214">
        <v>0.09323042247826967</v>
      </c>
      <c r="G52" s="214">
        <v>0.8328282595512431</v>
      </c>
      <c r="H52" s="214">
        <v>0.1671717404487569</v>
      </c>
      <c r="I52" s="214">
        <v>0.06305594010868822</v>
      </c>
      <c r="J52" s="214">
        <v>0.05257859963398692</v>
      </c>
      <c r="K52" s="214">
        <v>0.038835977126117985</v>
      </c>
      <c r="L52" s="214">
        <v>0.036137856119619026</v>
      </c>
      <c r="M52" s="204">
        <f t="shared" si="1"/>
        <v>0.036613003985785444</v>
      </c>
      <c r="N52" s="204">
        <f t="shared" si="0"/>
        <v>0.045972396716056865</v>
      </c>
      <c r="O52" s="204">
        <f t="shared" si="0"/>
        <v>0.031278623154013675</v>
      </c>
      <c r="P52" s="204">
        <f t="shared" si="0"/>
        <v>0.032768708526128024</v>
      </c>
      <c r="Q52" s="204">
        <f t="shared" si="2"/>
        <v>0.146632732381984</v>
      </c>
      <c r="R52" s="30"/>
      <c r="S52" s="30"/>
      <c r="T52" s="30"/>
      <c r="U52" s="30"/>
      <c r="V52" s="30"/>
      <c r="W52" s="30"/>
    </row>
    <row r="53" spans="2:23" ht="15">
      <c r="B53" s="200">
        <v>2014</v>
      </c>
      <c r="C53" s="214">
        <v>0.41981238779174146</v>
      </c>
      <c r="D53" s="214">
        <v>0.126221324556154</v>
      </c>
      <c r="E53" s="214">
        <v>0.19459634949132257</v>
      </c>
      <c r="F53" s="214">
        <v>0.09271969878316377</v>
      </c>
      <c r="G53" s="214">
        <v>0.8333497606223818</v>
      </c>
      <c r="H53" s="214">
        <v>0.16665023937761822</v>
      </c>
      <c r="I53" s="214">
        <v>0.08478668472779653</v>
      </c>
      <c r="J53" s="214">
        <v>0.07255023308665778</v>
      </c>
      <c r="K53" s="214">
        <v>0.05167924744095789</v>
      </c>
      <c r="L53" s="214">
        <v>0.04828381846449852</v>
      </c>
      <c r="M53" s="204">
        <f t="shared" si="1"/>
        <v>0.04919218415927469</v>
      </c>
      <c r="N53" s="204">
        <f t="shared" si="0"/>
        <v>0.06339284656960213</v>
      </c>
      <c r="O53" s="204">
        <f t="shared" si="0"/>
        <v>0.04162265454448871</v>
      </c>
      <c r="P53" s="204">
        <f t="shared" si="0"/>
        <v>0.043806957360369256</v>
      </c>
      <c r="Q53" s="204">
        <f t="shared" si="2"/>
        <v>0.1980146426337348</v>
      </c>
      <c r="R53" s="30"/>
      <c r="S53" s="30"/>
      <c r="T53" s="30"/>
      <c r="U53" s="30"/>
      <c r="V53" s="30"/>
      <c r="W53" s="30"/>
    </row>
    <row r="54" spans="2:23" ht="15">
      <c r="B54" s="200">
        <v>2015</v>
      </c>
      <c r="C54" s="214">
        <v>0.4199706779494244</v>
      </c>
      <c r="D54" s="214">
        <v>0.12671356882810195</v>
      </c>
      <c r="E54" s="214">
        <v>0.1947157335432451</v>
      </c>
      <c r="F54" s="214">
        <v>0.09240144642330021</v>
      </c>
      <c r="G54" s="214">
        <v>0.8338014267440718</v>
      </c>
      <c r="H54" s="214">
        <v>0.1661985732559282</v>
      </c>
      <c r="I54" s="214">
        <v>0.10739682366789263</v>
      </c>
      <c r="J54" s="214">
        <v>0.09380991615869047</v>
      </c>
      <c r="K54" s="214">
        <v>0.0654428564866471</v>
      </c>
      <c r="L54" s="214">
        <v>0.06167431569695272</v>
      </c>
      <c r="M54" s="204">
        <f t="shared" si="1"/>
        <v>0.062293306822472985</v>
      </c>
      <c r="N54" s="204">
        <f t="shared" si="0"/>
        <v>0.08192292689075778</v>
      </c>
      <c r="O54" s="204">
        <f t="shared" si="0"/>
        <v>0.0527001026806843</v>
      </c>
      <c r="P54" s="204">
        <f t="shared" si="0"/>
        <v>0.05597551971938704</v>
      </c>
      <c r="Q54" s="204">
        <f t="shared" si="2"/>
        <v>0.2528918561133021</v>
      </c>
      <c r="R54" s="30"/>
      <c r="S54" s="30"/>
      <c r="T54" s="30"/>
      <c r="U54" s="30"/>
      <c r="V54" s="30"/>
      <c r="W54" s="30"/>
    </row>
    <row r="55" spans="2:23" ht="15">
      <c r="B55" s="200">
        <v>2016</v>
      </c>
      <c r="C55" s="214">
        <v>0.42051996142719383</v>
      </c>
      <c r="D55" s="214">
        <v>0.1275699132111861</v>
      </c>
      <c r="E55" s="214">
        <v>0.19504831243972998</v>
      </c>
      <c r="F55" s="214">
        <v>0.09227868852459016</v>
      </c>
      <c r="G55" s="214">
        <v>0.8354168756027001</v>
      </c>
      <c r="H55" s="214">
        <v>0.16458312439729994</v>
      </c>
      <c r="I55" s="214">
        <v>0.12963630773951154</v>
      </c>
      <c r="J55" s="214">
        <v>0.11555259481442286</v>
      </c>
      <c r="K55" s="214">
        <v>0.079361452133858</v>
      </c>
      <c r="L55" s="214">
        <v>0.07538384043764958</v>
      </c>
      <c r="M55" s="204">
        <f t="shared" si="1"/>
        <v>0.07512165260932832</v>
      </c>
      <c r="N55" s="204">
        <f t="shared" si="0"/>
        <v>0.10081156032261959</v>
      </c>
      <c r="O55" s="204">
        <f t="shared" si="0"/>
        <v>0.06388213482238259</v>
      </c>
      <c r="P55" s="204">
        <f t="shared" si="0"/>
        <v>0.06842751850611631</v>
      </c>
      <c r="Q55" s="204">
        <f t="shared" si="2"/>
        <v>0.30824286626044684</v>
      </c>
      <c r="R55" s="30"/>
      <c r="S55" s="30"/>
      <c r="T55" s="30"/>
      <c r="U55" s="30"/>
      <c r="V55" s="30"/>
      <c r="W55" s="30"/>
    </row>
    <row r="56" spans="2:23" ht="15">
      <c r="B56" s="200">
        <v>2017</v>
      </c>
      <c r="C56" s="214">
        <v>0.42021102842968894</v>
      </c>
      <c r="D56" s="214">
        <v>0.1280952108376264</v>
      </c>
      <c r="E56" s="214">
        <v>0.19506410990269032</v>
      </c>
      <c r="F56" s="214">
        <v>0.09211929021179163</v>
      </c>
      <c r="G56" s="214">
        <v>0.8354896393817974</v>
      </c>
      <c r="H56" s="214">
        <v>0.1645103606182026</v>
      </c>
      <c r="I56" s="214">
        <v>0.15031169197929825</v>
      </c>
      <c r="J56" s="214">
        <v>0.13583174368843534</v>
      </c>
      <c r="K56" s="214">
        <v>0.09265775642624552</v>
      </c>
      <c r="L56" s="214">
        <v>0.08876207970965865</v>
      </c>
      <c r="M56" s="204">
        <f t="shared" si="1"/>
        <v>0.08714906130767071</v>
      </c>
      <c r="N56" s="204">
        <f t="shared" si="0"/>
        <v>0.11843234784222278</v>
      </c>
      <c r="O56" s="204">
        <f t="shared" si="0"/>
        <v>0.07458355364337965</v>
      </c>
      <c r="P56" s="204">
        <f t="shared" si="0"/>
        <v>0.08058537992908242</v>
      </c>
      <c r="Q56" s="204">
        <f t="shared" si="2"/>
        <v>0.36075034272235557</v>
      </c>
      <c r="R56" s="30"/>
      <c r="S56" s="30"/>
      <c r="T56" s="30"/>
      <c r="U56" s="30"/>
      <c r="V56" s="30"/>
      <c r="W56" s="30"/>
    </row>
    <row r="57" spans="2:23" ht="15">
      <c r="B57" s="200">
        <v>2018</v>
      </c>
      <c r="C57" s="214">
        <v>0.4198368406152685</v>
      </c>
      <c r="D57" s="214">
        <v>0.128447485137303</v>
      </c>
      <c r="E57" s="214">
        <v>0.19518486364065302</v>
      </c>
      <c r="F57" s="214">
        <v>0.09206941587241672</v>
      </c>
      <c r="G57" s="214">
        <v>0.8355386052656414</v>
      </c>
      <c r="H57" s="214">
        <v>0.16446139473435867</v>
      </c>
      <c r="I57" s="214">
        <v>0.1694461066290913</v>
      </c>
      <c r="J57" s="214">
        <v>0.15430180258280082</v>
      </c>
      <c r="K57" s="214">
        <v>0.10536989259679343</v>
      </c>
      <c r="L57" s="214">
        <v>0.10164319705356253</v>
      </c>
      <c r="M57" s="204">
        <f t="shared" si="1"/>
        <v>0.0983063885673757</v>
      </c>
      <c r="N57" s="204">
        <f t="shared" si="0"/>
        <v>0.13448212408888746</v>
      </c>
      <c r="O57" s="204">
        <f t="shared" si="0"/>
        <v>0.08480328447845804</v>
      </c>
      <c r="P57" s="204">
        <f t="shared" si="0"/>
        <v>0.09228496727343609</v>
      </c>
      <c r="Q57" s="204">
        <f t="shared" si="2"/>
        <v>0.4098767644081573</v>
      </c>
      <c r="R57" s="30"/>
      <c r="S57" s="30"/>
      <c r="T57" s="30"/>
      <c r="U57" s="30"/>
      <c r="V57" s="30"/>
      <c r="W57" s="30"/>
    </row>
    <row r="58" spans="2:23" ht="15">
      <c r="B58" s="200">
        <v>2019</v>
      </c>
      <c r="C58" s="214">
        <v>0.4195286980867942</v>
      </c>
      <c r="D58" s="214">
        <v>0.12870881941203918</v>
      </c>
      <c r="E58" s="214">
        <v>0.19534904339710688</v>
      </c>
      <c r="F58" s="214">
        <v>0.09210743817078862</v>
      </c>
      <c r="G58" s="214">
        <v>0.8356939990667289</v>
      </c>
      <c r="H58" s="214">
        <v>0.16430600093327105</v>
      </c>
      <c r="I58" s="214">
        <v>0.18723111682331353</v>
      </c>
      <c r="J58" s="214">
        <v>0.1712818926340443</v>
      </c>
      <c r="K58" s="214">
        <v>0.11743505290313949</v>
      </c>
      <c r="L58" s="214">
        <v>0.11402813458526796</v>
      </c>
      <c r="M58" s="204">
        <f t="shared" si="1"/>
        <v>0.10868229014109232</v>
      </c>
      <c r="N58" s="204">
        <f t="shared" si="0"/>
        <v>0.1492364024464568</v>
      </c>
      <c r="O58" s="204">
        <f t="shared" si="0"/>
        <v>0.09449422765722255</v>
      </c>
      <c r="P58" s="204">
        <f t="shared" si="0"/>
        <v>0.10352529522922503</v>
      </c>
      <c r="Q58" s="204">
        <f t="shared" si="2"/>
        <v>0.4559382154739967</v>
      </c>
      <c r="R58" s="30"/>
      <c r="S58" s="30"/>
      <c r="T58" s="30"/>
      <c r="U58" s="30"/>
      <c r="V58" s="30"/>
      <c r="W58" s="30"/>
    </row>
    <row r="59" spans="2:23" ht="15">
      <c r="B59" s="200">
        <v>2020</v>
      </c>
      <c r="C59" s="214">
        <v>0.4192230527870063</v>
      </c>
      <c r="D59" s="214">
        <v>0.1289092838685862</v>
      </c>
      <c r="E59" s="214">
        <v>0.19554715762273903</v>
      </c>
      <c r="F59" s="214">
        <v>0.09220190107050572</v>
      </c>
      <c r="G59" s="214">
        <v>0.8358813953488373</v>
      </c>
      <c r="H59" s="214">
        <v>0.1641186046511627</v>
      </c>
      <c r="I59" s="214">
        <v>0.20368541147656427</v>
      </c>
      <c r="J59" s="214">
        <v>0.18692248729830668</v>
      </c>
      <c r="K59" s="214">
        <v>0.12887010019117967</v>
      </c>
      <c r="L59" s="214">
        <v>0.1258612793736922</v>
      </c>
      <c r="M59" s="204">
        <f t="shared" si="1"/>
        <v>0.11829579146918148</v>
      </c>
      <c r="N59" s="204">
        <f t="shared" si="0"/>
        <v>0.1628264433217471</v>
      </c>
      <c r="O59" s="204">
        <f t="shared" si="0"/>
        <v>0.10366991839623689</v>
      </c>
      <c r="P59" s="204">
        <f t="shared" si="0"/>
        <v>0.11425663014427176</v>
      </c>
      <c r="Q59" s="204">
        <f t="shared" si="2"/>
        <v>0.4990487833314372</v>
      </c>
      <c r="R59" s="30"/>
      <c r="S59" s="30"/>
      <c r="T59" s="30"/>
      <c r="U59" s="30"/>
      <c r="V59" s="30"/>
      <c r="W59" s="30"/>
    </row>
    <row r="60" spans="2:23" ht="15">
      <c r="B60" s="200">
        <v>2025</v>
      </c>
      <c r="C60" s="214">
        <v>0.4191501655917727</v>
      </c>
      <c r="D60" s="214">
        <v>0.1295940386961827</v>
      </c>
      <c r="E60" s="214">
        <v>0.19673871361338677</v>
      </c>
      <c r="F60" s="214">
        <v>0.09276006623670909</v>
      </c>
      <c r="G60" s="214">
        <v>0.8382429841380512</v>
      </c>
      <c r="H60" s="214">
        <v>0.16175701586194877</v>
      </c>
      <c r="I60" s="214">
        <v>0.26865056485010697</v>
      </c>
      <c r="J60" s="214">
        <v>0.24857534483732605</v>
      </c>
      <c r="K60" s="214">
        <v>0.17604530071144425</v>
      </c>
      <c r="L60" s="214">
        <v>0.17423072549935215</v>
      </c>
      <c r="M60" s="204">
        <f t="shared" si="1"/>
        <v>0.15604563610686137</v>
      </c>
      <c r="N60" s="204">
        <f t="shared" si="0"/>
        <v>0.21636146197956066</v>
      </c>
      <c r="O60" s="204">
        <f t="shared" si="0"/>
        <v>0.14141037471179285</v>
      </c>
      <c r="P60" s="204">
        <f t="shared" si="0"/>
        <v>0.15806907186156235</v>
      </c>
      <c r="Q60" s="204">
        <f t="shared" si="2"/>
        <v>0.6718865446597773</v>
      </c>
      <c r="R60" s="30"/>
      <c r="S60" s="30"/>
      <c r="T60" s="30"/>
      <c r="U60" s="30"/>
      <c r="V60" s="30"/>
      <c r="W60" s="30"/>
    </row>
    <row r="61" spans="2:23" ht="15">
      <c r="B61" s="200">
        <v>2030</v>
      </c>
      <c r="C61" s="214">
        <v>0.4214818678184337</v>
      </c>
      <c r="D61" s="214">
        <v>0.13030608752342923</v>
      </c>
      <c r="E61" s="214">
        <v>0.19759114986553664</v>
      </c>
      <c r="F61" s="214">
        <v>0.09323266237470458</v>
      </c>
      <c r="G61" s="214">
        <v>0.8426117675821041</v>
      </c>
      <c r="H61" s="214">
        <v>0.15738823241789585</v>
      </c>
      <c r="I61" s="214">
        <v>0.30602013810507495</v>
      </c>
      <c r="J61" s="214">
        <v>0.2871417372009511</v>
      </c>
      <c r="K61" s="214">
        <v>0.20627010718287778</v>
      </c>
      <c r="L61" s="214">
        <v>0.2046615696407</v>
      </c>
      <c r="M61" s="204">
        <f t="shared" si="1"/>
        <v>0.1770381987064929</v>
      </c>
      <c r="N61" s="204">
        <f t="shared" si="0"/>
        <v>0.24972542086161445</v>
      </c>
      <c r="O61" s="204">
        <f t="shared" si="0"/>
        <v>0.16551295952172548</v>
      </c>
      <c r="P61" s="204">
        <f t="shared" si="0"/>
        <v>0.18558042661731153</v>
      </c>
      <c r="Q61" s="204">
        <f t="shared" si="2"/>
        <v>0.7778570057071444</v>
      </c>
      <c r="R61" s="30"/>
      <c r="S61" s="30"/>
      <c r="T61" s="30"/>
      <c r="U61" s="30"/>
      <c r="V61" s="30"/>
      <c r="W61" s="30"/>
    </row>
    <row r="62" spans="2:23" ht="15">
      <c r="B62" s="200">
        <v>2035</v>
      </c>
      <c r="C62" s="214">
        <v>0.4221453818964193</v>
      </c>
      <c r="D62" s="214">
        <v>0.1311178730597818</v>
      </c>
      <c r="E62" s="214">
        <v>0.19796419240817584</v>
      </c>
      <c r="F62" s="214">
        <v>0.09348263408636853</v>
      </c>
      <c r="G62" s="214">
        <v>0.8447100814507454</v>
      </c>
      <c r="H62" s="214">
        <v>0.1552899185492546</v>
      </c>
      <c r="I62" s="214">
        <v>0.3237710371891951</v>
      </c>
      <c r="J62" s="214">
        <v>0.3117033421981659</v>
      </c>
      <c r="K62" s="214">
        <v>0.22434949263402718</v>
      </c>
      <c r="L62" s="214">
        <v>0.22293923494738951</v>
      </c>
      <c r="M62" s="204">
        <f t="shared" si="1"/>
        <v>0.18709258904796253</v>
      </c>
      <c r="N62" s="204">
        <f t="shared" si="0"/>
        <v>0.2708334629435171</v>
      </c>
      <c r="O62" s="204">
        <f t="shared" si="0"/>
        <v>0.17993632650754798</v>
      </c>
      <c r="P62" s="204">
        <f t="shared" si="0"/>
        <v>0.20209828802330773</v>
      </c>
      <c r="Q62" s="204">
        <f t="shared" si="2"/>
        <v>0.8399606665223354</v>
      </c>
      <c r="R62" s="30"/>
      <c r="S62" s="30"/>
      <c r="T62" s="30"/>
      <c r="U62" s="30"/>
      <c r="V62" s="30"/>
      <c r="W62" s="30"/>
    </row>
    <row r="63" spans="2:23" ht="15">
      <c r="B63" s="200">
        <v>2040</v>
      </c>
      <c r="C63" s="214">
        <v>0.42243888848686595</v>
      </c>
      <c r="D63" s="214">
        <v>0.13136008394239815</v>
      </c>
      <c r="E63" s="214">
        <v>0.19895318040379187</v>
      </c>
      <c r="F63" s="214">
        <v>0.09443722411173024</v>
      </c>
      <c r="G63" s="214">
        <v>0.8471893769447862</v>
      </c>
      <c r="H63" s="214">
        <v>0.15281062305521378</v>
      </c>
      <c r="I63" s="214">
        <v>0.3327168877789357</v>
      </c>
      <c r="J63" s="214">
        <v>0.3260568720710199</v>
      </c>
      <c r="K63" s="214">
        <v>0.2359819838259011</v>
      </c>
      <c r="L63" s="214">
        <v>0.23529164282069046</v>
      </c>
      <c r="M63" s="204">
        <f t="shared" si="1"/>
        <v>0.19216433552479278</v>
      </c>
      <c r="N63" s="204">
        <f t="shared" si="0"/>
        <v>0.28322601398577496</v>
      </c>
      <c r="O63" s="204">
        <f t="shared" si="0"/>
        <v>0.18903261762574192</v>
      </c>
      <c r="P63" s="204">
        <f t="shared" si="0"/>
        <v>0.21307135321601572</v>
      </c>
      <c r="Q63" s="204">
        <f t="shared" si="2"/>
        <v>0.8774943203523253</v>
      </c>
      <c r="R63" s="30"/>
      <c r="S63" s="30"/>
      <c r="T63" s="30"/>
      <c r="U63" s="30"/>
      <c r="V63" s="30"/>
      <c r="W63" s="30"/>
    </row>
    <row r="64" spans="2:23" ht="15">
      <c r="B64" s="37"/>
      <c r="C64" s="30"/>
      <c r="D64" s="30"/>
      <c r="E64" s="30"/>
      <c r="F64" s="30"/>
      <c r="G64" s="30"/>
      <c r="H64" s="30"/>
      <c r="I64" s="30"/>
      <c r="J64" s="30"/>
      <c r="K64" s="30"/>
      <c r="L64" s="30"/>
      <c r="M64" s="30"/>
      <c r="N64" s="30"/>
      <c r="O64" s="30"/>
      <c r="P64" s="30"/>
      <c r="Q64" s="30"/>
      <c r="R64" s="30"/>
      <c r="S64" s="30"/>
      <c r="T64" s="30"/>
      <c r="U64" s="30"/>
      <c r="V64" s="30"/>
      <c r="W64" s="30"/>
    </row>
    <row r="65" spans="2:23" ht="15">
      <c r="B65" s="37"/>
      <c r="C65" s="30"/>
      <c r="D65" s="30"/>
      <c r="E65" s="30"/>
      <c r="F65" s="30"/>
      <c r="G65" s="30"/>
      <c r="H65" s="30"/>
      <c r="I65" s="30"/>
      <c r="J65" s="30"/>
      <c r="K65" s="30"/>
      <c r="L65" s="30"/>
      <c r="M65" s="30"/>
      <c r="N65" s="30"/>
      <c r="O65" s="30"/>
      <c r="P65" s="30"/>
      <c r="Q65" s="30"/>
      <c r="R65" s="30"/>
      <c r="S65" s="30"/>
      <c r="T65" s="30"/>
      <c r="U65" s="30"/>
      <c r="V65" s="30"/>
      <c r="W65" s="30"/>
    </row>
    <row r="66" spans="2:23" ht="15">
      <c r="B66" s="37"/>
      <c r="C66" s="30"/>
      <c r="D66" s="30"/>
      <c r="E66" s="30"/>
      <c r="F66" s="30"/>
      <c r="G66" s="30"/>
      <c r="H66" s="30"/>
      <c r="I66" s="30"/>
      <c r="J66" s="30"/>
      <c r="K66" s="30"/>
      <c r="L66" s="30"/>
      <c r="M66" s="30"/>
      <c r="N66" s="30"/>
      <c r="O66" s="30"/>
      <c r="P66" s="30"/>
      <c r="Q66" s="30"/>
      <c r="R66" s="30"/>
      <c r="S66" s="30"/>
      <c r="T66" s="30"/>
      <c r="U66" s="30"/>
      <c r="V66" s="30"/>
      <c r="W66" s="30"/>
    </row>
    <row r="67" spans="2:23" ht="15">
      <c r="B67" s="37"/>
      <c r="C67" s="30"/>
      <c r="D67" s="30"/>
      <c r="E67" s="30"/>
      <c r="F67" s="30"/>
      <c r="G67" s="30"/>
      <c r="H67" s="30"/>
      <c r="I67" s="30"/>
      <c r="J67" s="30"/>
      <c r="K67" s="30"/>
      <c r="L67" s="30"/>
      <c r="M67" s="30"/>
      <c r="N67" s="30"/>
      <c r="O67" s="30"/>
      <c r="P67" s="30"/>
      <c r="Q67" s="30"/>
      <c r="R67" s="30"/>
      <c r="S67" s="30"/>
      <c r="T67" s="30"/>
      <c r="U67" s="30"/>
      <c r="V67" s="30"/>
      <c r="W67" s="30"/>
    </row>
    <row r="68" spans="2:23" ht="15">
      <c r="B68" s="37"/>
      <c r="C68" s="30"/>
      <c r="D68" s="30"/>
      <c r="E68" s="30"/>
      <c r="F68" s="30"/>
      <c r="G68" s="30"/>
      <c r="H68" s="30"/>
      <c r="I68" s="30"/>
      <c r="J68" s="30"/>
      <c r="K68" s="30"/>
      <c r="L68" s="30"/>
      <c r="M68" s="30"/>
      <c r="N68" s="30"/>
      <c r="O68" s="30"/>
      <c r="P68" s="30"/>
      <c r="Q68" s="30"/>
      <c r="R68" s="30"/>
      <c r="S68" s="30"/>
      <c r="T68" s="30"/>
      <c r="U68" s="30"/>
      <c r="V68" s="30"/>
      <c r="W68" s="30"/>
    </row>
    <row r="69" spans="2:23" ht="15">
      <c r="B69" s="37"/>
      <c r="C69" s="30"/>
      <c r="D69" s="30"/>
      <c r="E69" s="30"/>
      <c r="F69" s="30"/>
      <c r="G69" s="30"/>
      <c r="H69" s="30"/>
      <c r="I69" s="30"/>
      <c r="J69" s="30"/>
      <c r="K69" s="30"/>
      <c r="L69" s="30"/>
      <c r="M69" s="30"/>
      <c r="N69" s="30"/>
      <c r="O69" s="30"/>
      <c r="P69" s="30"/>
      <c r="Q69" s="30"/>
      <c r="R69" s="30"/>
      <c r="S69" s="30"/>
      <c r="T69" s="30"/>
      <c r="U69" s="30"/>
      <c r="V69" s="30"/>
      <c r="W69" s="30"/>
    </row>
    <row r="70" spans="2:23" ht="15">
      <c r="B70" s="30"/>
      <c r="C70" s="30"/>
      <c r="D70" s="30"/>
      <c r="E70" s="30"/>
      <c r="F70" s="30"/>
      <c r="G70" s="30"/>
      <c r="H70" s="30"/>
      <c r="I70" s="30"/>
      <c r="J70" s="30"/>
      <c r="K70" s="30"/>
      <c r="L70" s="30"/>
      <c r="M70" s="30"/>
      <c r="N70" s="30"/>
      <c r="O70" s="30"/>
      <c r="P70" s="30"/>
      <c r="Q70" s="30"/>
      <c r="R70" s="30"/>
      <c r="S70" s="30"/>
      <c r="T70" s="30"/>
      <c r="U70" s="30"/>
      <c r="V70" s="30"/>
      <c r="W70" s="30"/>
    </row>
    <row r="71" spans="2:23" ht="15">
      <c r="B71" s="30"/>
      <c r="C71" s="30"/>
      <c r="D71" s="30"/>
      <c r="E71" s="30"/>
      <c r="F71" s="30"/>
      <c r="G71" s="30"/>
      <c r="H71" s="30"/>
      <c r="I71" s="30"/>
      <c r="J71" s="30"/>
      <c r="K71" s="30"/>
      <c r="L71" s="30"/>
      <c r="M71" s="30"/>
      <c r="N71" s="30"/>
      <c r="O71" s="30"/>
      <c r="P71" s="30"/>
      <c r="Q71" s="30"/>
      <c r="R71" s="30"/>
      <c r="S71" s="30"/>
      <c r="T71" s="30"/>
      <c r="U71" s="30"/>
      <c r="V71" s="30"/>
      <c r="W71" s="30"/>
    </row>
    <row r="72" spans="2:23" ht="15">
      <c r="B72" t="s">
        <v>104</v>
      </c>
      <c r="K72" s="30"/>
      <c r="L72" s="30"/>
      <c r="M72" s="30"/>
      <c r="N72" s="30"/>
      <c r="O72" s="30"/>
      <c r="P72" s="30"/>
      <c r="Q72" s="30"/>
      <c r="R72" s="30"/>
      <c r="S72" s="30"/>
      <c r="T72" s="30"/>
      <c r="U72" s="30"/>
      <c r="V72" s="30"/>
      <c r="W72" s="30"/>
    </row>
    <row r="73" spans="2:23" ht="60" customHeight="1">
      <c r="B73" s="190" t="s">
        <v>56</v>
      </c>
      <c r="C73" s="198" t="s">
        <v>105</v>
      </c>
      <c r="D73" s="565" t="s">
        <v>725</v>
      </c>
      <c r="L73" s="30"/>
      <c r="M73" s="30"/>
      <c r="N73" s="30"/>
      <c r="O73" s="30"/>
      <c r="P73" s="30"/>
      <c r="Q73" s="30"/>
      <c r="R73" s="30"/>
      <c r="S73" s="30"/>
      <c r="T73" s="30"/>
      <c r="U73" s="30"/>
      <c r="V73" s="30"/>
      <c r="W73" s="30"/>
    </row>
    <row r="74" spans="2:23" ht="15">
      <c r="B74" s="200">
        <v>2010</v>
      </c>
      <c r="C74" s="190">
        <v>0</v>
      </c>
      <c r="D74" s="566">
        <f>0.72*C74</f>
        <v>0</v>
      </c>
      <c r="E74" t="s">
        <v>106</v>
      </c>
      <c r="L74" s="30"/>
      <c r="M74" s="30"/>
      <c r="N74" s="30"/>
      <c r="O74" s="30"/>
      <c r="P74" s="30"/>
      <c r="Q74" s="30"/>
      <c r="R74" s="30"/>
      <c r="S74" s="30"/>
      <c r="T74" s="30"/>
      <c r="U74" s="30"/>
      <c r="V74" s="30"/>
      <c r="W74" s="30"/>
    </row>
    <row r="75" spans="2:23" ht="15">
      <c r="B75" s="200">
        <f aca="true" t="shared" si="3" ref="B75:B103">1+B74</f>
        <v>2011</v>
      </c>
      <c r="C75" s="190">
        <v>0.25</v>
      </c>
      <c r="D75" s="566">
        <f aca="true" t="shared" si="4" ref="D75:D104">0.72*C75</f>
        <v>0.18</v>
      </c>
      <c r="E75" t="s">
        <v>107</v>
      </c>
      <c r="L75" s="30"/>
      <c r="M75" s="30"/>
      <c r="N75" s="30"/>
      <c r="O75" s="30"/>
      <c r="P75" s="30"/>
      <c r="Q75" s="30"/>
      <c r="R75" s="30"/>
      <c r="S75" s="30"/>
      <c r="T75" s="30"/>
      <c r="U75" s="30"/>
      <c r="V75" s="30"/>
      <c r="W75" s="30"/>
    </row>
    <row r="76" spans="2:23" ht="15">
      <c r="B76" s="200">
        <f t="shared" si="3"/>
        <v>2012</v>
      </c>
      <c r="C76" s="190">
        <v>0.5</v>
      </c>
      <c r="D76" s="566">
        <f t="shared" si="4"/>
        <v>0.36</v>
      </c>
      <c r="E76" t="s">
        <v>108</v>
      </c>
      <c r="L76" s="30"/>
      <c r="M76" s="30"/>
      <c r="N76" s="30"/>
      <c r="O76" s="30"/>
      <c r="P76" s="30"/>
      <c r="Q76" s="30"/>
      <c r="R76" s="30"/>
      <c r="S76" s="30"/>
      <c r="T76" s="30"/>
      <c r="U76" s="30"/>
      <c r="V76" s="30"/>
      <c r="W76" s="30"/>
    </row>
    <row r="77" spans="2:23" ht="15">
      <c r="B77" s="200">
        <f t="shared" si="3"/>
        <v>2013</v>
      </c>
      <c r="C77" s="190">
        <v>1</v>
      </c>
      <c r="D77" s="566">
        <f t="shared" si="4"/>
        <v>0.72</v>
      </c>
      <c r="E77" t="s">
        <v>109</v>
      </c>
      <c r="L77" s="30"/>
      <c r="M77" s="30"/>
      <c r="N77" s="30"/>
      <c r="O77" s="30"/>
      <c r="P77" s="30"/>
      <c r="Q77" s="30"/>
      <c r="R77" s="30"/>
      <c r="S77" s="30"/>
      <c r="T77" s="30"/>
      <c r="U77" s="30"/>
      <c r="V77" s="30"/>
      <c r="W77" s="30"/>
    </row>
    <row r="78" spans="2:23" ht="15">
      <c r="B78" s="200">
        <f t="shared" si="3"/>
        <v>2014</v>
      </c>
      <c r="C78" s="190">
        <v>1.5</v>
      </c>
      <c r="D78" s="566">
        <f t="shared" si="4"/>
        <v>1.08</v>
      </c>
      <c r="E78" t="s">
        <v>110</v>
      </c>
      <c r="L78" s="30"/>
      <c r="M78" s="30"/>
      <c r="N78" s="30"/>
      <c r="O78" s="30"/>
      <c r="P78" s="30"/>
      <c r="Q78" s="30"/>
      <c r="R78" s="30"/>
      <c r="S78" s="30"/>
      <c r="T78" s="30"/>
      <c r="U78" s="30"/>
      <c r="V78" s="30"/>
      <c r="W78" s="30"/>
    </row>
    <row r="79" spans="2:23" ht="15">
      <c r="B79" s="200">
        <f t="shared" si="3"/>
        <v>2015</v>
      </c>
      <c r="C79" s="190">
        <v>2.5</v>
      </c>
      <c r="D79" s="566">
        <f t="shared" si="4"/>
        <v>1.7999999999999998</v>
      </c>
      <c r="E79" t="s">
        <v>111</v>
      </c>
      <c r="L79" s="30"/>
      <c r="M79" s="30"/>
      <c r="N79" s="30"/>
      <c r="O79" s="30"/>
      <c r="P79" s="30"/>
      <c r="Q79" s="30"/>
      <c r="R79" s="30"/>
      <c r="S79" s="30"/>
      <c r="T79" s="30"/>
      <c r="U79" s="30"/>
      <c r="V79" s="30"/>
      <c r="W79" s="30"/>
    </row>
    <row r="80" spans="2:23" ht="15">
      <c r="B80" s="200">
        <f t="shared" si="3"/>
        <v>2016</v>
      </c>
      <c r="C80" s="190">
        <v>3.5</v>
      </c>
      <c r="D80" s="566">
        <f t="shared" si="4"/>
        <v>2.52</v>
      </c>
      <c r="L80" s="30"/>
      <c r="M80" s="30"/>
      <c r="N80" s="30"/>
      <c r="O80" s="30"/>
      <c r="P80" s="30"/>
      <c r="Q80" s="30"/>
      <c r="R80" s="30"/>
      <c r="S80" s="30"/>
      <c r="T80" s="30"/>
      <c r="U80" s="30"/>
      <c r="V80" s="30"/>
      <c r="W80" s="30"/>
    </row>
    <row r="81" spans="2:23" ht="15">
      <c r="B81" s="200">
        <f t="shared" si="3"/>
        <v>2017</v>
      </c>
      <c r="C81" s="190">
        <v>5</v>
      </c>
      <c r="D81" s="566">
        <f t="shared" si="4"/>
        <v>3.5999999999999996</v>
      </c>
      <c r="L81" s="30"/>
      <c r="M81" s="30"/>
      <c r="N81" s="30"/>
      <c r="O81" s="30"/>
      <c r="P81" s="30"/>
      <c r="Q81" s="30"/>
      <c r="R81" s="30"/>
      <c r="S81" s="30"/>
      <c r="T81" s="30"/>
      <c r="U81" s="30"/>
      <c r="V81" s="30"/>
      <c r="W81" s="30"/>
    </row>
    <row r="82" spans="2:23" ht="15">
      <c r="B82" s="200">
        <f t="shared" si="3"/>
        <v>2018</v>
      </c>
      <c r="C82" s="190">
        <v>6.5</v>
      </c>
      <c r="D82" s="566">
        <f t="shared" si="4"/>
        <v>4.68</v>
      </c>
      <c r="L82" s="30"/>
      <c r="M82" s="30"/>
      <c r="N82" s="30"/>
      <c r="O82" s="30"/>
      <c r="P82" s="30"/>
      <c r="Q82" s="30"/>
      <c r="R82" s="30"/>
      <c r="S82" s="30"/>
      <c r="T82" s="30"/>
      <c r="U82" s="30"/>
      <c r="V82" s="30"/>
      <c r="W82" s="30"/>
    </row>
    <row r="83" spans="2:23" ht="15">
      <c r="B83" s="200">
        <f t="shared" si="3"/>
        <v>2019</v>
      </c>
      <c r="C83" s="190">
        <v>8</v>
      </c>
      <c r="D83" s="566">
        <f t="shared" si="4"/>
        <v>5.76</v>
      </c>
      <c r="L83" s="30"/>
      <c r="M83" s="30"/>
      <c r="N83" s="30"/>
      <c r="O83" s="30"/>
      <c r="P83" s="30"/>
      <c r="Q83" s="30"/>
      <c r="R83" s="30"/>
      <c r="S83" s="30"/>
      <c r="T83" s="30"/>
      <c r="U83" s="30"/>
      <c r="V83" s="30"/>
      <c r="W83" s="30"/>
    </row>
    <row r="84" spans="2:23" ht="15">
      <c r="B84" s="200">
        <f t="shared" si="3"/>
        <v>2020</v>
      </c>
      <c r="C84" s="190">
        <v>10</v>
      </c>
      <c r="D84" s="566">
        <f t="shared" si="4"/>
        <v>7.199999999999999</v>
      </c>
      <c r="L84" s="30"/>
      <c r="M84" s="30"/>
      <c r="N84" s="30"/>
      <c r="O84" s="30"/>
      <c r="P84" s="30"/>
      <c r="Q84" s="30"/>
      <c r="R84" s="30"/>
      <c r="S84" s="30"/>
      <c r="T84" s="30"/>
      <c r="U84" s="30"/>
      <c r="V84" s="30"/>
      <c r="W84" s="30"/>
    </row>
    <row r="85" spans="2:23" ht="15">
      <c r="B85" s="200">
        <f t="shared" si="3"/>
        <v>2021</v>
      </c>
      <c r="C85" s="190">
        <v>10</v>
      </c>
      <c r="D85" s="566">
        <f t="shared" si="4"/>
        <v>7.199999999999999</v>
      </c>
      <c r="L85" s="30"/>
      <c r="M85" s="30"/>
      <c r="N85" s="30"/>
      <c r="O85" s="30"/>
      <c r="P85" s="30"/>
      <c r="Q85" s="30"/>
      <c r="R85" s="30"/>
      <c r="S85" s="30"/>
      <c r="T85" s="30"/>
      <c r="U85" s="30"/>
      <c r="V85" s="30"/>
      <c r="W85" s="30"/>
    </row>
    <row r="86" spans="2:23" ht="15">
      <c r="B86" s="200">
        <f t="shared" si="3"/>
        <v>2022</v>
      </c>
      <c r="C86" s="190">
        <v>10</v>
      </c>
      <c r="D86" s="566">
        <f t="shared" si="4"/>
        <v>7.199999999999999</v>
      </c>
      <c r="L86" s="30"/>
      <c r="M86" s="30"/>
      <c r="N86" s="30"/>
      <c r="O86" s="30"/>
      <c r="P86" s="30"/>
      <c r="Q86" s="30"/>
      <c r="R86" s="30"/>
      <c r="S86" s="30"/>
      <c r="T86" s="30"/>
      <c r="U86" s="30"/>
      <c r="V86" s="30"/>
      <c r="W86" s="30"/>
    </row>
    <row r="87" spans="2:23" ht="15">
      <c r="B87" s="200">
        <f t="shared" si="3"/>
        <v>2023</v>
      </c>
      <c r="C87" s="190">
        <v>10</v>
      </c>
      <c r="D87" s="566">
        <f t="shared" si="4"/>
        <v>7.199999999999999</v>
      </c>
      <c r="L87" s="30"/>
      <c r="M87" s="30"/>
      <c r="N87" s="30"/>
      <c r="O87" s="30"/>
      <c r="P87" s="30"/>
      <c r="Q87" s="30"/>
      <c r="R87" s="30"/>
      <c r="S87" s="30"/>
      <c r="T87" s="30"/>
      <c r="U87" s="30"/>
      <c r="V87" s="30"/>
      <c r="W87" s="30"/>
    </row>
    <row r="88" spans="2:23" ht="15">
      <c r="B88" s="200">
        <f t="shared" si="3"/>
        <v>2024</v>
      </c>
      <c r="C88" s="190">
        <v>10</v>
      </c>
      <c r="D88" s="566">
        <f t="shared" si="4"/>
        <v>7.199999999999999</v>
      </c>
      <c r="L88" s="30"/>
      <c r="M88" s="30"/>
      <c r="N88" s="30"/>
      <c r="O88" s="30"/>
      <c r="P88" s="30"/>
      <c r="Q88" s="30"/>
      <c r="R88" s="30"/>
      <c r="S88" s="30"/>
      <c r="T88" s="30"/>
      <c r="U88" s="30"/>
      <c r="V88" s="30"/>
      <c r="W88" s="30"/>
    </row>
    <row r="89" spans="2:23" ht="15">
      <c r="B89" s="200">
        <f t="shared" si="3"/>
        <v>2025</v>
      </c>
      <c r="C89" s="190">
        <v>10</v>
      </c>
      <c r="D89" s="566">
        <f t="shared" si="4"/>
        <v>7.199999999999999</v>
      </c>
      <c r="L89" s="30"/>
      <c r="M89" s="30"/>
      <c r="N89" s="30"/>
      <c r="O89" s="30"/>
      <c r="P89" s="30"/>
      <c r="Q89" s="30"/>
      <c r="R89" s="30"/>
      <c r="S89" s="30"/>
      <c r="T89" s="30"/>
      <c r="U89" s="30"/>
      <c r="V89" s="30"/>
      <c r="W89" s="30"/>
    </row>
    <row r="90" spans="2:23" ht="15">
      <c r="B90" s="200">
        <f t="shared" si="3"/>
        <v>2026</v>
      </c>
      <c r="C90" s="190">
        <v>10</v>
      </c>
      <c r="D90" s="566">
        <f t="shared" si="4"/>
        <v>7.199999999999999</v>
      </c>
      <c r="L90" s="30"/>
      <c r="M90" s="30"/>
      <c r="N90" s="30"/>
      <c r="O90" s="30"/>
      <c r="P90" s="30"/>
      <c r="Q90" s="30"/>
      <c r="R90" s="30"/>
      <c r="S90" s="30"/>
      <c r="T90" s="30"/>
      <c r="U90" s="30"/>
      <c r="V90" s="30"/>
      <c r="W90" s="30"/>
    </row>
    <row r="91" spans="2:23" ht="15">
      <c r="B91" s="200">
        <f t="shared" si="3"/>
        <v>2027</v>
      </c>
      <c r="C91" s="190">
        <v>10</v>
      </c>
      <c r="D91" s="566">
        <f t="shared" si="4"/>
        <v>7.199999999999999</v>
      </c>
      <c r="L91" s="30"/>
      <c r="M91" s="30"/>
      <c r="N91" s="30"/>
      <c r="O91" s="30"/>
      <c r="P91" s="30"/>
      <c r="Q91" s="30"/>
      <c r="R91" s="30"/>
      <c r="S91" s="30"/>
      <c r="T91" s="30"/>
      <c r="U91" s="30"/>
      <c r="V91" s="30"/>
      <c r="W91" s="30"/>
    </row>
    <row r="92" spans="2:23" ht="15">
      <c r="B92" s="200">
        <f t="shared" si="3"/>
        <v>2028</v>
      </c>
      <c r="C92" s="190">
        <v>10</v>
      </c>
      <c r="D92" s="566">
        <f t="shared" si="4"/>
        <v>7.199999999999999</v>
      </c>
      <c r="L92" s="30"/>
      <c r="M92" s="30"/>
      <c r="N92" s="30"/>
      <c r="O92" s="30"/>
      <c r="P92" s="30"/>
      <c r="Q92" s="30"/>
      <c r="R92" s="30"/>
      <c r="S92" s="30"/>
      <c r="T92" s="30"/>
      <c r="U92" s="30"/>
      <c r="V92" s="30"/>
      <c r="W92" s="30"/>
    </row>
    <row r="93" spans="2:23" ht="15">
      <c r="B93" s="200">
        <f t="shared" si="3"/>
        <v>2029</v>
      </c>
      <c r="C93" s="190">
        <v>10</v>
      </c>
      <c r="D93" s="566">
        <f t="shared" si="4"/>
        <v>7.199999999999999</v>
      </c>
      <c r="L93" s="30"/>
      <c r="M93" s="30"/>
      <c r="N93" s="30"/>
      <c r="O93" s="30"/>
      <c r="P93" s="30"/>
      <c r="Q93" s="30"/>
      <c r="R93" s="30"/>
      <c r="S93" s="30"/>
      <c r="T93" s="30"/>
      <c r="U93" s="30"/>
      <c r="V93" s="30"/>
      <c r="W93" s="30"/>
    </row>
    <row r="94" spans="2:23" ht="15">
      <c r="B94" s="200">
        <f t="shared" si="3"/>
        <v>2030</v>
      </c>
      <c r="C94" s="190">
        <v>10</v>
      </c>
      <c r="D94" s="566">
        <f t="shared" si="4"/>
        <v>7.199999999999999</v>
      </c>
      <c r="L94" s="30"/>
      <c r="M94" s="30"/>
      <c r="N94" s="30"/>
      <c r="O94" s="30"/>
      <c r="P94" s="30"/>
      <c r="Q94" s="30"/>
      <c r="R94" s="30"/>
      <c r="S94" s="30"/>
      <c r="T94" s="30"/>
      <c r="U94" s="30"/>
      <c r="V94" s="30"/>
      <c r="W94" s="30"/>
    </row>
    <row r="95" spans="2:23" ht="15">
      <c r="B95" s="200">
        <f t="shared" si="3"/>
        <v>2031</v>
      </c>
      <c r="C95" s="190">
        <v>10</v>
      </c>
      <c r="D95" s="566">
        <f t="shared" si="4"/>
        <v>7.199999999999999</v>
      </c>
      <c r="L95" s="30"/>
      <c r="M95" s="30"/>
      <c r="N95" s="30"/>
      <c r="O95" s="30"/>
      <c r="P95" s="30"/>
      <c r="Q95" s="30"/>
      <c r="R95" s="30"/>
      <c r="S95" s="30"/>
      <c r="T95" s="30"/>
      <c r="U95" s="30"/>
      <c r="V95" s="30"/>
      <c r="W95" s="30"/>
    </row>
    <row r="96" spans="2:23" ht="15">
      <c r="B96" s="200">
        <f t="shared" si="3"/>
        <v>2032</v>
      </c>
      <c r="C96" s="190">
        <v>10</v>
      </c>
      <c r="D96" s="566">
        <f t="shared" si="4"/>
        <v>7.199999999999999</v>
      </c>
      <c r="L96" s="30"/>
      <c r="M96" s="30"/>
      <c r="N96" s="30"/>
      <c r="O96" s="30"/>
      <c r="P96" s="30"/>
      <c r="Q96" s="30"/>
      <c r="R96" s="30"/>
      <c r="S96" s="30"/>
      <c r="T96" s="30"/>
      <c r="U96" s="30"/>
      <c r="V96" s="30"/>
      <c r="W96" s="30"/>
    </row>
    <row r="97" spans="2:23" ht="15">
      <c r="B97" s="200">
        <f t="shared" si="3"/>
        <v>2033</v>
      </c>
      <c r="C97" s="190">
        <v>10</v>
      </c>
      <c r="D97" s="566">
        <f t="shared" si="4"/>
        <v>7.199999999999999</v>
      </c>
      <c r="L97" s="30"/>
      <c r="M97" s="30"/>
      <c r="N97" s="30"/>
      <c r="O97" s="30"/>
      <c r="P97" s="30"/>
      <c r="Q97" s="30"/>
      <c r="R97" s="30"/>
      <c r="S97" s="30"/>
      <c r="T97" s="30"/>
      <c r="U97" s="30"/>
      <c r="V97" s="30"/>
      <c r="W97" s="30"/>
    </row>
    <row r="98" spans="2:23" ht="15">
      <c r="B98" s="200">
        <f t="shared" si="3"/>
        <v>2034</v>
      </c>
      <c r="C98" s="190">
        <v>10</v>
      </c>
      <c r="D98" s="566">
        <f t="shared" si="4"/>
        <v>7.199999999999999</v>
      </c>
      <c r="L98" s="30"/>
      <c r="M98" s="30"/>
      <c r="N98" s="30"/>
      <c r="O98" s="30"/>
      <c r="P98" s="30"/>
      <c r="Q98" s="30"/>
      <c r="R98" s="30"/>
      <c r="S98" s="30"/>
      <c r="T98" s="30"/>
      <c r="U98" s="30"/>
      <c r="V98" s="30"/>
      <c r="W98" s="30"/>
    </row>
    <row r="99" spans="2:23" ht="15">
      <c r="B99" s="200">
        <f t="shared" si="3"/>
        <v>2035</v>
      </c>
      <c r="C99" s="190">
        <v>10</v>
      </c>
      <c r="D99" s="566">
        <f t="shared" si="4"/>
        <v>7.199999999999999</v>
      </c>
      <c r="L99" s="30"/>
      <c r="M99" s="30"/>
      <c r="N99" s="30"/>
      <c r="O99" s="30"/>
      <c r="P99" s="30"/>
      <c r="Q99" s="30"/>
      <c r="R99" s="30"/>
      <c r="S99" s="30"/>
      <c r="T99" s="30"/>
      <c r="U99" s="30"/>
      <c r="V99" s="30"/>
      <c r="W99" s="30"/>
    </row>
    <row r="100" spans="2:23" ht="15">
      <c r="B100" s="200">
        <f t="shared" si="3"/>
        <v>2036</v>
      </c>
      <c r="C100" s="190">
        <v>10</v>
      </c>
      <c r="D100" s="566">
        <f t="shared" si="4"/>
        <v>7.199999999999999</v>
      </c>
      <c r="L100" s="30"/>
      <c r="M100" s="30"/>
      <c r="N100" s="30"/>
      <c r="O100" s="30"/>
      <c r="P100" s="30"/>
      <c r="Q100" s="30"/>
      <c r="R100" s="30"/>
      <c r="S100" s="30"/>
      <c r="T100" s="30"/>
      <c r="U100" s="30"/>
      <c r="V100" s="30"/>
      <c r="W100" s="30"/>
    </row>
    <row r="101" spans="2:23" ht="15">
      <c r="B101" s="200">
        <f t="shared" si="3"/>
        <v>2037</v>
      </c>
      <c r="C101" s="190">
        <v>10</v>
      </c>
      <c r="D101" s="566">
        <f t="shared" si="4"/>
        <v>7.199999999999999</v>
      </c>
      <c r="L101" s="30"/>
      <c r="M101" s="30"/>
      <c r="N101" s="30"/>
      <c r="O101" s="30"/>
      <c r="P101" s="30"/>
      <c r="Q101" s="30"/>
      <c r="R101" s="30"/>
      <c r="S101" s="30"/>
      <c r="T101" s="30"/>
      <c r="U101" s="30"/>
      <c r="V101" s="30"/>
      <c r="W101" s="30"/>
    </row>
    <row r="102" spans="2:23" ht="15">
      <c r="B102" s="200">
        <f t="shared" si="3"/>
        <v>2038</v>
      </c>
      <c r="C102" s="190">
        <v>10</v>
      </c>
      <c r="D102" s="566">
        <f t="shared" si="4"/>
        <v>7.199999999999999</v>
      </c>
      <c r="L102" s="30"/>
      <c r="M102" s="30"/>
      <c r="N102" s="30"/>
      <c r="O102" s="30"/>
      <c r="P102" s="30"/>
      <c r="Q102" s="30"/>
      <c r="R102" s="30"/>
      <c r="S102" s="30"/>
      <c r="T102" s="30"/>
      <c r="U102" s="30"/>
      <c r="V102" s="30"/>
      <c r="W102" s="30"/>
    </row>
    <row r="103" spans="2:23" ht="15">
      <c r="B103" s="200">
        <f t="shared" si="3"/>
        <v>2039</v>
      </c>
      <c r="C103" s="190">
        <v>10</v>
      </c>
      <c r="D103" s="566">
        <f t="shared" si="4"/>
        <v>7.199999999999999</v>
      </c>
      <c r="L103" s="30"/>
      <c r="M103" s="30"/>
      <c r="N103" s="30"/>
      <c r="O103" s="30"/>
      <c r="P103" s="30"/>
      <c r="Q103" s="30"/>
      <c r="R103" s="30"/>
      <c r="S103" s="30"/>
      <c r="T103" s="30"/>
      <c r="U103" s="30"/>
      <c r="V103" s="30"/>
      <c r="W103" s="30"/>
    </row>
    <row r="104" spans="2:23" ht="15">
      <c r="B104" s="200">
        <f>+B103+1</f>
        <v>2040</v>
      </c>
      <c r="C104" s="190">
        <v>10</v>
      </c>
      <c r="D104" s="566">
        <f t="shared" si="4"/>
        <v>7.199999999999999</v>
      </c>
      <c r="L104" s="30"/>
      <c r="M104" s="30"/>
      <c r="N104" s="30"/>
      <c r="O104" s="30"/>
      <c r="P104" s="30"/>
      <c r="Q104" s="30"/>
      <c r="R104" s="30"/>
      <c r="S104" s="30"/>
      <c r="T104" s="30"/>
      <c r="U104" s="30"/>
      <c r="V104" s="30"/>
      <c r="W104" s="30"/>
    </row>
    <row r="105" spans="2:23" ht="15">
      <c r="B105" s="30"/>
      <c r="C105" s="30"/>
      <c r="D105" s="30"/>
      <c r="E105" s="30"/>
      <c r="F105" s="30"/>
      <c r="G105" s="30"/>
      <c r="H105" s="30"/>
      <c r="I105" s="30"/>
      <c r="J105" s="30"/>
      <c r="K105" s="30"/>
      <c r="L105" s="30"/>
      <c r="M105" s="30"/>
      <c r="N105" s="30"/>
      <c r="O105" s="30"/>
      <c r="P105" s="30"/>
      <c r="Q105" s="30"/>
      <c r="R105" s="30"/>
      <c r="S105" s="30"/>
      <c r="T105" s="30"/>
      <c r="U105" s="30"/>
      <c r="V105" s="30"/>
      <c r="W105" s="30"/>
    </row>
    <row r="106" spans="2:23" ht="15">
      <c r="B106" s="30"/>
      <c r="C106" s="30"/>
      <c r="D106" s="30"/>
      <c r="E106" s="30"/>
      <c r="F106" s="30"/>
      <c r="G106" s="30"/>
      <c r="H106" s="30"/>
      <c r="I106" s="30"/>
      <c r="J106" s="30"/>
      <c r="K106" s="30"/>
      <c r="L106" s="30"/>
      <c r="M106" s="30"/>
      <c r="N106" s="30"/>
      <c r="O106" s="30"/>
      <c r="P106" s="30"/>
      <c r="Q106" s="30"/>
      <c r="R106" s="30"/>
      <c r="S106" s="30"/>
      <c r="T106" s="30"/>
      <c r="U106" s="30"/>
      <c r="V106" s="30"/>
      <c r="W106" s="30"/>
    </row>
    <row r="107" spans="2:23" ht="15">
      <c r="B107" s="30"/>
      <c r="C107" s="30"/>
      <c r="D107" s="30"/>
      <c r="E107" s="30"/>
      <c r="F107" s="30"/>
      <c r="G107" s="30"/>
      <c r="H107" s="30"/>
      <c r="I107" s="30"/>
      <c r="J107" s="30"/>
      <c r="K107" s="30"/>
      <c r="L107" s="30"/>
      <c r="M107" s="30"/>
      <c r="N107" s="30"/>
      <c r="O107" s="30"/>
      <c r="P107" s="30"/>
      <c r="Q107" s="30"/>
      <c r="R107" s="30"/>
      <c r="S107" s="30"/>
      <c r="T107" s="30"/>
      <c r="U107" s="30"/>
      <c r="V107" s="30"/>
      <c r="W107" s="30"/>
    </row>
  </sheetData>
  <sheetProtection password="A20C" sheet="1" objects="1" scenarios="1"/>
  <mergeCells count="2">
    <mergeCell ref="B25:K27"/>
    <mergeCell ref="B3:D3"/>
  </mergeCells>
  <hyperlinks>
    <hyperlink ref="B30" location="'Transp. Detail Mit'!B1" display="Transportation Detail for Operational Mitigation"/>
    <hyperlink ref="B31" location="'Land Use Detail'!F1" display="Land Use Detai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wksAreaSourceV">
    <tabColor theme="7" tint="-0.24997000396251678"/>
  </sheetPr>
  <dimension ref="A3:Z28"/>
  <sheetViews>
    <sheetView showGridLines="0" showRowColHeaders="0" zoomScale="90" zoomScaleNormal="90" zoomScalePageLayoutView="0" workbookViewId="0" topLeftCell="A2">
      <selection activeCell="A5" sqref="A5"/>
    </sheetView>
  </sheetViews>
  <sheetFormatPr defaultColWidth="9.140625" defaultRowHeight="15"/>
  <cols>
    <col min="1" max="1" width="2.7109375" style="0" customWidth="1"/>
    <col min="2" max="2" width="57.00390625" style="0" customWidth="1"/>
    <col min="3" max="3" width="12.7109375" style="0" customWidth="1"/>
    <col min="4" max="4" width="11.28125" style="0" customWidth="1"/>
    <col min="5" max="5" width="12.421875" style="0" customWidth="1"/>
    <col min="6" max="7" width="2.8515625" style="0" customWidth="1"/>
    <col min="8" max="8" width="57.421875" style="0" customWidth="1"/>
    <col min="9" max="9" width="12.421875" style="0" customWidth="1"/>
    <col min="10" max="10" width="10.7109375" style="0" customWidth="1"/>
    <col min="11" max="11" width="12.421875" style="0" customWidth="1"/>
  </cols>
  <sheetData>
    <row r="3" spans="1:26" ht="26.25">
      <c r="A3" s="11"/>
      <c r="B3" s="615" t="s">
        <v>7</v>
      </c>
      <c r="C3" s="615"/>
      <c r="D3" s="615"/>
      <c r="E3" s="11"/>
      <c r="F3" s="11"/>
      <c r="G3" s="11"/>
      <c r="H3" s="11"/>
      <c r="I3" s="11"/>
      <c r="J3" s="11"/>
      <c r="K3" s="11"/>
      <c r="L3" s="11"/>
      <c r="M3" s="11"/>
      <c r="N3" s="11"/>
      <c r="O3" s="11"/>
      <c r="P3" s="11"/>
      <c r="Q3" s="11"/>
      <c r="R3" s="11"/>
      <c r="S3" s="11"/>
      <c r="T3" s="11"/>
      <c r="U3" s="11"/>
      <c r="V3" s="11"/>
      <c r="W3" s="11"/>
      <c r="X3" s="11"/>
      <c r="Y3" s="11"/>
      <c r="Z3" s="11"/>
    </row>
    <row r="4" spans="2:3" ht="15">
      <c r="B4" s="221" t="s">
        <v>679</v>
      </c>
      <c r="C4" t="str">
        <f>IF(+nrUseBaseline,"ON","OFF")</f>
        <v>ON</v>
      </c>
    </row>
    <row r="6" ht="15.75" thickBot="1"/>
    <row r="7" spans="2:11" ht="18.75">
      <c r="B7" s="371" t="s">
        <v>645</v>
      </c>
      <c r="C7" s="229"/>
      <c r="D7" s="229"/>
      <c r="E7" s="230"/>
      <c r="H7" s="371" t="s">
        <v>646</v>
      </c>
      <c r="I7" s="229"/>
      <c r="J7" s="229"/>
      <c r="K7" s="230"/>
    </row>
    <row r="8" spans="2:11" ht="32.25" thickBot="1">
      <c r="B8" s="231"/>
      <c r="C8" s="234" t="s">
        <v>113</v>
      </c>
      <c r="D8" s="234" t="s">
        <v>114</v>
      </c>
      <c r="E8" s="254" t="s">
        <v>119</v>
      </c>
      <c r="H8" s="231"/>
      <c r="I8" s="234" t="s">
        <v>113</v>
      </c>
      <c r="J8" s="234" t="s">
        <v>114</v>
      </c>
      <c r="K8" s="254" t="s">
        <v>119</v>
      </c>
    </row>
    <row r="9" spans="2:11" ht="15">
      <c r="B9" s="237" t="s">
        <v>620</v>
      </c>
      <c r="C9" s="262">
        <f>INDEX(nrUrbLandscapeUnMit,1)*nrMetricTonAdj</f>
        <v>0.2268602540834845</v>
      </c>
      <c r="D9" s="263">
        <f>IF(nrUseBaseline,(INDEX(nrBaseLandscapeUnMit,1)*nrMetricTonAdj),0)</f>
        <v>0</v>
      </c>
      <c r="E9" s="242"/>
      <c r="H9" s="330" t="s">
        <v>620</v>
      </c>
      <c r="I9" s="257">
        <f>INDEX(nrUrbLandscapeMit,1)*nrMetricTonAdj</f>
        <v>0.2268602540834845</v>
      </c>
      <c r="J9" s="258">
        <f>IF(nrUseBaseline,(INDEX(nrBaseLandscapeUnMit,1)*nrMetricTonAdj),0)</f>
        <v>0</v>
      </c>
      <c r="K9" s="242"/>
    </row>
    <row r="10" spans="2:11" ht="15">
      <c r="B10" s="231"/>
      <c r="C10" s="250"/>
      <c r="D10" s="242"/>
      <c r="E10" s="242"/>
      <c r="H10" s="231"/>
      <c r="I10" s="250"/>
      <c r="J10" s="242"/>
      <c r="K10" s="242"/>
    </row>
    <row r="11" spans="2:11" ht="15">
      <c r="B11" s="236" t="s">
        <v>621</v>
      </c>
      <c r="C11" s="256">
        <f>INDEX(nrUrbHearthUnMit,1)*nrMetricTonAdj</f>
        <v>0</v>
      </c>
      <c r="D11" s="264">
        <f>IF(nrUseBaseline,(INDEX(nrBaseHearthUnMit,1)*nrMetricTonAdj),0)</f>
        <v>0</v>
      </c>
      <c r="E11" s="242"/>
      <c r="H11" s="331" t="s">
        <v>621</v>
      </c>
      <c r="I11" s="255">
        <f>INDEX(nrUrbHearthMit,1)*nrMetricTonAdj</f>
        <v>0</v>
      </c>
      <c r="J11" s="259">
        <f>IF(nrUseBaseline,(INDEX(nrBaseHearthUnMit,1)*nrMetricTonAdj),0)</f>
        <v>0</v>
      </c>
      <c r="K11" s="242"/>
    </row>
    <row r="12" spans="2:11" ht="15">
      <c r="B12" s="236"/>
      <c r="C12" s="256"/>
      <c r="D12" s="264"/>
      <c r="E12" s="242"/>
      <c r="H12" s="236"/>
      <c r="I12" s="255"/>
      <c r="J12" s="259"/>
      <c r="K12" s="242"/>
    </row>
    <row r="13" spans="2:11" ht="15">
      <c r="B13" s="236" t="s">
        <v>622</v>
      </c>
      <c r="C13" s="256">
        <f>(INDEX(nrUrbFireplaceUsage,1)*0.3)/nrPoundsInMetricTon</f>
        <v>0</v>
      </c>
      <c r="D13" s="264">
        <f>IF(nrUseBaseline,((INDEX(nrBaseFireplaceUsage,1)*0.3)/nrPoundsInMetricTon),0)</f>
        <v>0</v>
      </c>
      <c r="E13" s="242"/>
      <c r="H13" s="331" t="s">
        <v>622</v>
      </c>
      <c r="I13" s="255">
        <f>(INDEX(nrUrbFireplaceUsage,1)*0.3)/nrPoundsInMetricTon</f>
        <v>0</v>
      </c>
      <c r="J13" s="259">
        <f>IF(nrUseBaseline,((INDEX(nrBaseFireplaceUsage,1)*0.3)/nrPoundsInMetricTon),0)</f>
        <v>0</v>
      </c>
      <c r="K13" s="242"/>
    </row>
    <row r="14" spans="2:11" ht="15">
      <c r="B14" s="236"/>
      <c r="C14" s="256"/>
      <c r="D14" s="264"/>
      <c r="E14" s="242"/>
      <c r="H14" s="236"/>
      <c r="I14" s="255"/>
      <c r="J14" s="259"/>
      <c r="K14" s="242"/>
    </row>
    <row r="15" spans="2:11" ht="15">
      <c r="B15" s="236" t="s">
        <v>623</v>
      </c>
      <c r="C15" s="256">
        <f>(INDEX(nrUrbGasFireplaceUsage,1)*2.2)/nrPoundsInMetricTon</f>
        <v>0</v>
      </c>
      <c r="D15" s="264">
        <f>IF(nrUseBaseline,((INDEX(nrBaseGasFireplaceUsage,1)*2.2)/nrPoundsInMetricTon),0)</f>
        <v>0</v>
      </c>
      <c r="E15" s="242"/>
      <c r="H15" s="331" t="s">
        <v>623</v>
      </c>
      <c r="I15" s="255">
        <f>(INDEX(nrUrbGasFireplaceUsage,1)*2.2)/nrPoundsInMetricTon</f>
        <v>0</v>
      </c>
      <c r="J15" s="259">
        <f>IF(nrUseBaseline,((INDEX(nrBaseGasFireplaceUsage,1)*2.2)/nrPoundsInMetricTon),0)</f>
        <v>0</v>
      </c>
      <c r="K15" s="242"/>
    </row>
    <row r="16" spans="2:11" ht="15">
      <c r="B16" s="236"/>
      <c r="C16" s="256"/>
      <c r="D16" s="264"/>
      <c r="E16" s="242"/>
      <c r="H16" s="236"/>
      <c r="I16" s="255"/>
      <c r="J16" s="259"/>
      <c r="K16" s="242"/>
    </row>
    <row r="17" spans="2:11" ht="15">
      <c r="B17" s="236" t="s">
        <v>624</v>
      </c>
      <c r="C17" s="256">
        <f>(INDEX(nrUrbWoodStoveUsage,1)*13.8)/nrPoundsInMetricTon</f>
        <v>0</v>
      </c>
      <c r="D17" s="264">
        <f>IF(nrUseBaseline,((INDEX(nrBaseWoodStoveUsage,1)*13.8)/nrPoundsInMetricTon),0)</f>
        <v>0</v>
      </c>
      <c r="E17" s="242"/>
      <c r="H17" s="236" t="s">
        <v>624</v>
      </c>
      <c r="I17" s="255">
        <f>(INDEX(nrUrbWoodStoveUsage,1)*13.8)/nrPoundsInMetricTon</f>
        <v>0</v>
      </c>
      <c r="J17" s="259">
        <f>IF(nrUseBaseline,((INDEX(nrBaseWoodStoveUsage,1)*13.8)/nrPoundsInMetricTon),0)</f>
        <v>0</v>
      </c>
      <c r="K17" s="242"/>
    </row>
    <row r="18" spans="2:11" ht="15">
      <c r="B18" s="236"/>
      <c r="C18" s="256"/>
      <c r="D18" s="264"/>
      <c r="E18" s="242"/>
      <c r="H18" s="236"/>
      <c r="I18" s="255"/>
      <c r="J18" s="259"/>
      <c r="K18" s="242"/>
    </row>
    <row r="19" spans="2:11" ht="15">
      <c r="B19" s="236" t="s">
        <v>625</v>
      </c>
      <c r="C19" s="256">
        <f>(INDEX(nrUrbGasFireplaceUsage,1)*2.3)/nrPoundsInMetricTon</f>
        <v>0</v>
      </c>
      <c r="D19" s="264">
        <f>IF(nrUseBaseline,((INDEX(nrBaseGasFireplaceUsage,1)*2.3)/nrPoundsInMetricTon),0)</f>
        <v>0</v>
      </c>
      <c r="E19" s="242"/>
      <c r="H19" s="331" t="s">
        <v>625</v>
      </c>
      <c r="I19" s="255">
        <f>(INDEX(nrUrbGasFireplaceUsage,1)*2.3)/nrPoundsInMetricTon</f>
        <v>0</v>
      </c>
      <c r="J19" s="259">
        <f>IF(nrUseBaseline,((INDEX(nrBaseGasFireplaceUsage,1)*2.3)/nrPoundsInMetricTon),0)</f>
        <v>0</v>
      </c>
      <c r="K19" s="242"/>
    </row>
    <row r="20" spans="2:11" ht="15">
      <c r="B20" s="231"/>
      <c r="C20" s="256"/>
      <c r="D20" s="264"/>
      <c r="E20" s="242"/>
      <c r="H20" s="231"/>
      <c r="I20" s="255"/>
      <c r="J20" s="259"/>
      <c r="K20" s="242"/>
    </row>
    <row r="21" spans="2:11" ht="15.75" thickBot="1">
      <c r="B21" s="238" t="s">
        <v>626</v>
      </c>
      <c r="C21" s="260">
        <f>SUM(C9:C11)+(SUM(C13:C15)*310)+(SUM(C17:C19)*21)</f>
        <v>0.2268602540834845</v>
      </c>
      <c r="D21" s="261">
        <f>SUM(D9:D11)+(SUM(D13:D15)*310)+(SUM(D17:D19)*21)</f>
        <v>0</v>
      </c>
      <c r="E21" s="242"/>
      <c r="H21" s="238" t="s">
        <v>626</v>
      </c>
      <c r="I21" s="260">
        <f>SUM(I9:I11)+(SUM(I13:I15)*310)+(SUM(I17:I19)*21)</f>
        <v>0.2268602540834845</v>
      </c>
      <c r="J21" s="261">
        <f>SUM(J9:J11)+(SUM(J13:J15)*310)+(SUM(J17:J19)*21)</f>
        <v>0</v>
      </c>
      <c r="K21" s="242"/>
    </row>
    <row r="22" spans="2:11" ht="16.5" thickBot="1">
      <c r="B22" s="238" t="s">
        <v>626</v>
      </c>
      <c r="C22" s="222"/>
      <c r="D22" s="222"/>
      <c r="E22" s="287">
        <f>IF(nrUseBaseline,C21-D21,C21)</f>
        <v>0.2268602540834845</v>
      </c>
      <c r="H22" s="238" t="s">
        <v>626</v>
      </c>
      <c r="I22" s="247"/>
      <c r="J22" s="247"/>
      <c r="K22" s="287">
        <f>IF(nrUseBaseline,I21-J21,I21)</f>
        <v>0.2268602540834845</v>
      </c>
    </row>
    <row r="25" spans="2:11" ht="15">
      <c r="B25" s="583" t="s">
        <v>733</v>
      </c>
      <c r="C25" s="583"/>
      <c r="D25" s="583"/>
      <c r="E25" s="583"/>
      <c r="F25" s="583"/>
      <c r="G25" s="583"/>
      <c r="H25" s="583"/>
      <c r="I25" s="583"/>
      <c r="J25" s="583"/>
      <c r="K25" s="583"/>
    </row>
    <row r="26" spans="2:11" ht="15">
      <c r="B26" s="583"/>
      <c r="C26" s="583"/>
      <c r="D26" s="583"/>
      <c r="E26" s="583"/>
      <c r="F26" s="583"/>
      <c r="G26" s="583"/>
      <c r="H26" s="583"/>
      <c r="I26" s="583"/>
      <c r="J26" s="583"/>
      <c r="K26" s="583"/>
    </row>
    <row r="27" spans="2:11" ht="15">
      <c r="B27" s="583"/>
      <c r="C27" s="583"/>
      <c r="D27" s="583"/>
      <c r="E27" s="583"/>
      <c r="F27" s="583"/>
      <c r="G27" s="583"/>
      <c r="H27" s="583"/>
      <c r="I27" s="583"/>
      <c r="J27" s="583"/>
      <c r="K27" s="583"/>
    </row>
    <row r="28" spans="2:11" ht="15">
      <c r="B28" s="583"/>
      <c r="C28" s="583"/>
      <c r="D28" s="583"/>
      <c r="E28" s="583"/>
      <c r="F28" s="583"/>
      <c r="G28" s="583"/>
      <c r="H28" s="583"/>
      <c r="I28" s="583"/>
      <c r="J28" s="583"/>
      <c r="K28" s="583"/>
    </row>
  </sheetData>
  <sheetProtection password="A20C" sheet="1" objects="1" scenarios="1"/>
  <mergeCells count="2">
    <mergeCell ref="B3:D3"/>
    <mergeCell ref="B25:K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wksElectricityV">
    <tabColor theme="0" tint="-0.3499799966812134"/>
  </sheetPr>
  <dimension ref="A1:AC155"/>
  <sheetViews>
    <sheetView showGridLines="0" showRowColHeaders="0" zoomScale="80" zoomScaleNormal="80" zoomScalePageLayoutView="0" workbookViewId="0" topLeftCell="A1">
      <selection activeCell="A5" sqref="A5"/>
    </sheetView>
  </sheetViews>
  <sheetFormatPr defaultColWidth="9.140625" defaultRowHeight="15"/>
  <cols>
    <col min="1" max="1" width="5.7109375" style="30" customWidth="1"/>
    <col min="2" max="2" width="32.57421875" style="30" customWidth="1"/>
    <col min="3" max="3" width="19.28125" style="30" customWidth="1"/>
    <col min="4" max="4" width="16.8515625" style="30" customWidth="1"/>
    <col min="5" max="5" width="18.7109375" style="30" customWidth="1"/>
    <col min="6" max="6" width="16.00390625" style="30" customWidth="1"/>
    <col min="7" max="7" width="25.57421875" style="30" customWidth="1"/>
    <col min="8" max="8" width="17.421875" style="30" customWidth="1"/>
    <col min="9" max="9" width="17.8515625" style="30" customWidth="1"/>
    <col min="10" max="10" width="19.421875" style="30" customWidth="1"/>
    <col min="11" max="11" width="14.57421875" style="30" customWidth="1"/>
    <col min="12" max="12" width="16.57421875" style="30" customWidth="1"/>
    <col min="13" max="13" width="15.8515625" style="30" customWidth="1"/>
    <col min="14" max="14" width="13.140625" style="30" customWidth="1"/>
    <col min="15" max="15" width="15.00390625" style="30" customWidth="1"/>
    <col min="16" max="16" width="14.28125" style="30" customWidth="1"/>
    <col min="17" max="17" width="13.57421875" style="30" bestFit="1" customWidth="1"/>
    <col min="18" max="18" width="27.421875" style="30" customWidth="1"/>
    <col min="19" max="19" width="20.00390625" style="30" customWidth="1"/>
    <col min="20" max="20" width="22.140625" style="30" customWidth="1"/>
    <col min="21" max="21" width="17.421875" style="30" customWidth="1"/>
    <col min="22" max="22" width="18.00390625" style="30" customWidth="1"/>
    <col min="23" max="23" width="15.7109375" style="30" customWidth="1"/>
    <col min="24" max="24" width="14.7109375" style="30" customWidth="1"/>
    <col min="25" max="25" width="13.8515625" style="30" customWidth="1"/>
    <col min="26" max="26" width="14.00390625" style="30" customWidth="1"/>
    <col min="27" max="16384" width="9.140625" style="30" customWidth="1"/>
  </cols>
  <sheetData>
    <row r="1" spans="1:13" ht="15" customHeight="1">
      <c r="A1" s="30" t="s">
        <v>177</v>
      </c>
      <c r="B1" s="34" t="s">
        <v>177</v>
      </c>
      <c r="K1" s="34"/>
      <c r="M1" s="34"/>
    </row>
    <row r="2" ht="15">
      <c r="B2" s="68"/>
    </row>
    <row r="3" spans="1:29" ht="26.25">
      <c r="A3" s="69"/>
      <c r="B3" s="584" t="s">
        <v>329</v>
      </c>
      <c r="C3" s="584"/>
      <c r="D3" s="584"/>
      <c r="E3" s="584"/>
      <c r="F3" s="585"/>
      <c r="G3" s="69"/>
      <c r="H3" s="69"/>
      <c r="I3" s="69"/>
      <c r="J3" s="69"/>
      <c r="K3" s="69"/>
      <c r="L3" s="69"/>
      <c r="M3" s="69"/>
      <c r="N3" s="69"/>
      <c r="O3" s="69"/>
      <c r="P3" s="69"/>
      <c r="Q3" s="69"/>
      <c r="R3" s="69"/>
      <c r="S3" s="69"/>
      <c r="T3" s="69"/>
      <c r="U3" s="69"/>
      <c r="V3" s="69"/>
      <c r="W3" s="69"/>
      <c r="X3" s="69"/>
      <c r="Y3" s="69"/>
      <c r="Z3" s="69"/>
      <c r="AA3" s="69"/>
      <c r="AB3" s="69"/>
      <c r="AC3" s="69"/>
    </row>
    <row r="4" spans="2:3" ht="15">
      <c r="B4" s="79" t="s">
        <v>679</v>
      </c>
      <c r="C4" s="30" t="str">
        <f>IF(+nrUseBaseline,"ON","OFF")</f>
        <v>ON</v>
      </c>
    </row>
    <row r="5" ht="15.75" thickBot="1"/>
    <row r="6" spans="2:10" ht="18.75">
      <c r="B6" s="265"/>
      <c r="C6" s="586" t="s">
        <v>641</v>
      </c>
      <c r="D6" s="587"/>
      <c r="E6" s="588"/>
      <c r="G6" s="265"/>
      <c r="H6" s="586" t="s">
        <v>643</v>
      </c>
      <c r="I6" s="587"/>
      <c r="J6" s="588"/>
    </row>
    <row r="7" spans="2:10" ht="16.5" thickBot="1">
      <c r="B7" s="266"/>
      <c r="C7" s="234" t="s">
        <v>113</v>
      </c>
      <c r="D7" s="234" t="s">
        <v>114</v>
      </c>
      <c r="E7" s="235" t="s">
        <v>119</v>
      </c>
      <c r="G7" s="266"/>
      <c r="H7" s="234" t="s">
        <v>113</v>
      </c>
      <c r="I7" s="234" t="s">
        <v>114</v>
      </c>
      <c r="J7" s="235" t="s">
        <v>119</v>
      </c>
    </row>
    <row r="8" spans="2:10" ht="15">
      <c r="B8" s="332" t="s">
        <v>618</v>
      </c>
      <c r="C8" s="257">
        <f>SUM(F33:F75,G28:G29,U34:U75)</f>
        <v>138.27819924130574</v>
      </c>
      <c r="D8" s="258">
        <f>IF(nrUseBaseline,SUM(F85:F127,G80:G81,U86:U127),0)</f>
        <v>0</v>
      </c>
      <c r="E8" s="268"/>
      <c r="G8" s="332" t="s">
        <v>618</v>
      </c>
      <c r="H8" s="257">
        <f>N78*C$132/2204</f>
        <v>115.98506509013708</v>
      </c>
      <c r="I8" s="258">
        <f>IF(nrUseBaseline,SUM(F85:F127,G80:G81,U86:U127),0)</f>
        <v>0</v>
      </c>
      <c r="J8" s="268"/>
    </row>
    <row r="9" spans="2:10" ht="15">
      <c r="B9" s="333" t="s">
        <v>619</v>
      </c>
      <c r="C9" s="255">
        <f>SUM(G33:G75,H28:H29,V34:V75)</f>
        <v>0.0011515449013308828</v>
      </c>
      <c r="D9" s="259">
        <f>IF(nrUseBaseline,SUM(G85:G127,H80:H81,V86:V127),0)</f>
        <v>0</v>
      </c>
      <c r="E9" s="268"/>
      <c r="G9" s="333" t="s">
        <v>619</v>
      </c>
      <c r="H9" s="255">
        <f>N78*D$132/2204</f>
        <v>0.0009658934746611958</v>
      </c>
      <c r="I9" s="259">
        <f>IF(nrUseBaseline,SUM(G85:G127,H80:H81,V86:V127),0)</f>
        <v>0</v>
      </c>
      <c r="J9" s="268"/>
    </row>
    <row r="10" spans="2:10" ht="15">
      <c r="B10" s="333" t="s">
        <v>424</v>
      </c>
      <c r="C10" s="255">
        <f>SUM(H33:H75,I28:I29,W34:W75)</f>
        <v>0.0006359277813319801</v>
      </c>
      <c r="D10" s="259">
        <f>IF(nrUseBaseline,SUM(H85:H127,I80:I81,W86:W127),0)</f>
        <v>0</v>
      </c>
      <c r="E10" s="268"/>
      <c r="G10" s="333" t="s">
        <v>424</v>
      </c>
      <c r="H10" s="255">
        <f>N78*E$132/2204</f>
        <v>0.0005334038591412574</v>
      </c>
      <c r="I10" s="259">
        <f>IF(nrUseBaseline,SUM(H85:H127,I80:I81,W86:W127),0)</f>
        <v>0</v>
      </c>
      <c r="J10" s="268"/>
    </row>
    <row r="11" spans="2:10" ht="15.75" thickBot="1">
      <c r="B11" s="270" t="s">
        <v>289</v>
      </c>
      <c r="C11" s="336">
        <f>+C8+C9*21+C10*310</f>
        <v>138.4995192964466</v>
      </c>
      <c r="D11" s="337">
        <f>+D8+D9*21+D10*310</f>
        <v>0</v>
      </c>
      <c r="E11" s="268"/>
      <c r="G11" s="270" t="s">
        <v>289</v>
      </c>
      <c r="H11" s="336">
        <f>+H8+H9*21+H10*310</f>
        <v>116.17070404943875</v>
      </c>
      <c r="I11" s="337">
        <f>+I8+I9*21+I10*310</f>
        <v>0</v>
      </c>
      <c r="J11" s="268"/>
    </row>
    <row r="12" spans="2:10" ht="16.5" thickBot="1">
      <c r="B12" s="285" t="s">
        <v>289</v>
      </c>
      <c r="C12" s="286"/>
      <c r="D12" s="286"/>
      <c r="E12" s="251">
        <f>IF(nrUseBaseline,C11-D11,C11)</f>
        <v>138.4995192964466</v>
      </c>
      <c r="F12" s="29"/>
      <c r="G12" s="285" t="s">
        <v>289</v>
      </c>
      <c r="H12" s="286"/>
      <c r="I12" s="286"/>
      <c r="J12" s="251">
        <f>IF(nrUseBaseline,H11-I11,H11)</f>
        <v>116.17070404943875</v>
      </c>
    </row>
    <row r="13" spans="2:13" ht="15.75" thickBot="1">
      <c r="B13" s="28"/>
      <c r="C13" s="29"/>
      <c r="D13" s="29"/>
      <c r="E13" s="29"/>
      <c r="F13" s="29"/>
      <c r="I13" s="68"/>
      <c r="J13" s="40"/>
      <c r="K13" s="40"/>
      <c r="L13" s="40"/>
      <c r="M13" s="40"/>
    </row>
    <row r="14" spans="2:13" ht="18.75">
      <c r="B14" s="265"/>
      <c r="C14" s="586" t="s">
        <v>642</v>
      </c>
      <c r="D14" s="586"/>
      <c r="E14" s="589"/>
      <c r="F14" s="29"/>
      <c r="G14" s="265"/>
      <c r="H14" s="586" t="s">
        <v>644</v>
      </c>
      <c r="I14" s="586"/>
      <c r="J14" s="589"/>
      <c r="K14" s="40"/>
      <c r="L14" s="40"/>
      <c r="M14" s="40"/>
    </row>
    <row r="15" spans="2:13" ht="16.5" thickBot="1">
      <c r="B15" s="266"/>
      <c r="C15" s="234" t="s">
        <v>113</v>
      </c>
      <c r="D15" s="234" t="s">
        <v>114</v>
      </c>
      <c r="E15" s="235" t="s">
        <v>119</v>
      </c>
      <c r="F15" s="29"/>
      <c r="G15" s="266"/>
      <c r="H15" s="234" t="s">
        <v>113</v>
      </c>
      <c r="I15" s="234" t="s">
        <v>114</v>
      </c>
      <c r="J15" s="235" t="s">
        <v>119</v>
      </c>
      <c r="K15" s="40"/>
      <c r="L15" s="40"/>
      <c r="M15" s="40"/>
    </row>
    <row r="16" spans="2:13" ht="15">
      <c r="B16" s="332" t="s">
        <v>286</v>
      </c>
      <c r="C16" s="418">
        <f>SUM(K33:K75,M28:M29,X34:X75)</f>
        <v>60.87304405594347</v>
      </c>
      <c r="D16" s="263">
        <f>IF(nrUseBaseline,SUM(K85:K127,M80:M81,X86:X127),0)</f>
        <v>0</v>
      </c>
      <c r="E16" s="268"/>
      <c r="F16" s="29"/>
      <c r="G16" s="332" t="s">
        <v>286</v>
      </c>
      <c r="H16" s="262">
        <f>O78*C$134*2.2/2204</f>
        <v>51.832125741562834</v>
      </c>
      <c r="I16" s="263">
        <f>IF(nrUseBaseline,SUM(K85:K127,M80:M81,X86:X127),0)</f>
        <v>0</v>
      </c>
      <c r="J16" s="268"/>
      <c r="K16" s="40"/>
      <c r="L16" s="40"/>
      <c r="M16" s="40"/>
    </row>
    <row r="17" spans="2:13" ht="15">
      <c r="B17" s="333" t="s">
        <v>287</v>
      </c>
      <c r="C17" s="419">
        <f>SUM(L33:L75,N28:N29,Y34:Y75)</f>
        <v>0.005736246141721021</v>
      </c>
      <c r="D17" s="264">
        <f>IF(nrUseBaseline,SUM(L85:L127,N80:N81,Y86:Y127),0)</f>
        <v>0</v>
      </c>
      <c r="E17" s="268"/>
      <c r="F17" s="29"/>
      <c r="G17" s="333" t="s">
        <v>287</v>
      </c>
      <c r="H17" s="256">
        <f>O78*D$134*2.2/2204</f>
        <v>0.00488429379396559</v>
      </c>
      <c r="I17" s="264">
        <f>IF(nrUseBaseline,SUM(L85:L127,N80:N81,Y86:Y127),0)</f>
        <v>0</v>
      </c>
      <c r="J17" s="268"/>
      <c r="K17" s="40"/>
      <c r="L17" s="40"/>
      <c r="M17" s="40"/>
    </row>
    <row r="18" spans="2:13" ht="15">
      <c r="B18" s="333" t="s">
        <v>424</v>
      </c>
      <c r="C18" s="419">
        <f>SUM(M33:M75,O28:O29,Z34:Z75)</f>
        <v>0.00011472492283442042</v>
      </c>
      <c r="D18" s="264">
        <f>IF(nrUseBaseline,SUM(M85:M127,O80:O81,Z86:Z127),0)</f>
        <v>0</v>
      </c>
      <c r="E18" s="268"/>
      <c r="F18" s="29"/>
      <c r="G18" s="333" t="s">
        <v>424</v>
      </c>
      <c r="H18" s="256">
        <f>O78*E$134*2.2/2204</f>
        <v>9.76858758793118E-05</v>
      </c>
      <c r="I18" s="264">
        <f>IF(nrUseBaseline,SUM(M85:M127,O80:O81,Z86:Z127),0)</f>
        <v>0</v>
      </c>
      <c r="J18" s="268"/>
      <c r="K18" s="40"/>
      <c r="L18" s="40"/>
      <c r="M18" s="40"/>
    </row>
    <row r="19" spans="2:13" ht="15.75" thickBot="1">
      <c r="B19" s="334" t="s">
        <v>289</v>
      </c>
      <c r="C19" s="420">
        <f>+C16+C17*21+C18*310</f>
        <v>61.02906995099828</v>
      </c>
      <c r="D19" s="261">
        <f>+D16+D17*21+D18*310</f>
        <v>0</v>
      </c>
      <c r="E19" s="268"/>
      <c r="F19" s="29"/>
      <c r="G19" s="334" t="s">
        <v>289</v>
      </c>
      <c r="H19" s="260">
        <f>+H16+H17*21+H18*310</f>
        <v>51.9649785327587</v>
      </c>
      <c r="I19" s="261">
        <f>+I16+I17*21+I18*310</f>
        <v>0</v>
      </c>
      <c r="J19" s="268"/>
      <c r="K19" s="40"/>
      <c r="L19" s="40"/>
      <c r="M19" s="40"/>
    </row>
    <row r="20" spans="2:13" ht="16.5" thickBot="1">
      <c r="B20" s="270" t="s">
        <v>289</v>
      </c>
      <c r="C20" s="269"/>
      <c r="D20" s="269"/>
      <c r="E20" s="251">
        <f>IF(nrUseBaseline,C19-D19,C19)</f>
        <v>61.02906995099828</v>
      </c>
      <c r="F20" s="29"/>
      <c r="G20" s="270" t="s">
        <v>289</v>
      </c>
      <c r="H20" s="269"/>
      <c r="I20" s="269"/>
      <c r="J20" s="251">
        <f>IF(nrUseBaseline,H19-I19,H19)</f>
        <v>51.9649785327587</v>
      </c>
      <c r="K20" s="40"/>
      <c r="L20" s="40"/>
      <c r="M20" s="40"/>
    </row>
    <row r="21" spans="2:13" ht="15">
      <c r="B21" s="28"/>
      <c r="C21" s="29"/>
      <c r="D21" s="594"/>
      <c r="E21" s="594"/>
      <c r="F21" s="29"/>
      <c r="I21" s="68"/>
      <c r="J21" s="29"/>
      <c r="K21" s="29"/>
      <c r="L21" s="29"/>
      <c r="M21" s="29"/>
    </row>
    <row r="22" spans="2:13" ht="15.75">
      <c r="B22" s="40"/>
      <c r="C22" s="29"/>
      <c r="D22" s="31"/>
      <c r="G22" s="387" t="s">
        <v>651</v>
      </c>
      <c r="I22" s="40"/>
      <c r="J22" s="472" t="s">
        <v>638</v>
      </c>
      <c r="K22"/>
      <c r="L22" t="s">
        <v>730</v>
      </c>
      <c r="M22" s="29"/>
    </row>
    <row r="23" spans="2:13" ht="15" customHeight="1">
      <c r="B23" s="64" t="s">
        <v>326</v>
      </c>
      <c r="C23" s="71"/>
      <c r="D23" s="78"/>
      <c r="E23" s="67"/>
      <c r="I23" s="28"/>
      <c r="J23" s="29"/>
      <c r="K23" s="29"/>
      <c r="L23" s="571" t="s">
        <v>731</v>
      </c>
      <c r="M23" s="29"/>
    </row>
    <row r="24" spans="2:5" ht="15" customHeight="1">
      <c r="B24" s="28"/>
      <c r="C24" s="29"/>
      <c r="D24" s="63"/>
      <c r="E24" s="63"/>
    </row>
    <row r="25" spans="2:10" ht="15" customHeight="1">
      <c r="B25" s="28"/>
      <c r="C25" s="29"/>
      <c r="D25" s="63"/>
      <c r="E25" s="63"/>
      <c r="J25" s="417"/>
    </row>
    <row r="26" spans="2:5" ht="15" customHeight="1">
      <c r="B26" s="66" t="s">
        <v>332</v>
      </c>
      <c r="C26" s="29"/>
      <c r="D26" s="63"/>
      <c r="E26" s="63"/>
    </row>
    <row r="27" spans="2:18" ht="60" customHeight="1">
      <c r="B27" s="72"/>
      <c r="C27" s="62" t="s">
        <v>333</v>
      </c>
      <c r="D27" s="73" t="s">
        <v>663</v>
      </c>
      <c r="E27" s="73" t="s">
        <v>334</v>
      </c>
      <c r="F27" s="62" t="s">
        <v>335</v>
      </c>
      <c r="G27" s="62" t="s">
        <v>336</v>
      </c>
      <c r="H27" s="62" t="s">
        <v>297</v>
      </c>
      <c r="I27" s="62" t="s">
        <v>337</v>
      </c>
      <c r="J27" s="62" t="s">
        <v>664</v>
      </c>
      <c r="K27" s="61" t="s">
        <v>338</v>
      </c>
      <c r="L27" s="61" t="s">
        <v>339</v>
      </c>
      <c r="M27" s="61" t="s">
        <v>296</v>
      </c>
      <c r="N27" s="61" t="s">
        <v>297</v>
      </c>
      <c r="O27" s="61" t="s">
        <v>298</v>
      </c>
      <c r="P27" s="59" t="s">
        <v>610</v>
      </c>
      <c r="Q27" s="59" t="s">
        <v>611</v>
      </c>
      <c r="R27" s="30" t="s">
        <v>341</v>
      </c>
    </row>
    <row r="28" spans="2:18" ht="15" customHeight="1">
      <c r="B28" s="74" t="s">
        <v>240</v>
      </c>
      <c r="C28" s="273">
        <f>nrUrbSingleFamilyUnits</f>
        <v>0</v>
      </c>
      <c r="D28" s="274">
        <f>IF(nrClimateZone=4,7415,6047)</f>
        <v>6047</v>
      </c>
      <c r="E28" s="274">
        <f>+D28*C28/1000</f>
        <v>0</v>
      </c>
      <c r="F28" s="507"/>
      <c r="G28" s="273">
        <f>IF(F28&gt;0,F28*C$132/2204,E28*C$132/2204)</f>
        <v>0</v>
      </c>
      <c r="H28" s="275">
        <f>IF(F28&gt;0,F28*D$132/2204,E28*D$132/2204)</f>
        <v>0</v>
      </c>
      <c r="I28" s="275">
        <f>IF(F28&gt;0,F28*E$132/2204,E28*E$132/2204)</f>
        <v>0</v>
      </c>
      <c r="J28" s="273">
        <v>49.6</v>
      </c>
      <c r="K28" s="273">
        <f>C28*J28</f>
        <v>0</v>
      </c>
      <c r="L28" s="507"/>
      <c r="M28" s="273">
        <f>IF(L28&gt;0,L28*C$134*2.2/2204,K28*C$134*2.2/2204)</f>
        <v>0</v>
      </c>
      <c r="N28" s="273">
        <f>IF(L28&gt;0,L28*D$134*2.2/2204,K28*D$134*2.2/2204)</f>
        <v>0</v>
      </c>
      <c r="O28" s="273">
        <f>IF(L28&gt;0,L28*E$134*2.2/2204,K28*E$134*2.2/2204)</f>
        <v>0</v>
      </c>
      <c r="P28" s="59">
        <f>IF(F28&gt;0,F28,E28)</f>
        <v>0</v>
      </c>
      <c r="Q28" s="59">
        <f>IF(L28:L236,L28,K28)</f>
        <v>0</v>
      </c>
      <c r="R28" s="30" t="s">
        <v>342</v>
      </c>
    </row>
    <row r="29" spans="2:17" ht="15" customHeight="1">
      <c r="B29" s="75" t="s">
        <v>340</v>
      </c>
      <c r="C29" s="273">
        <f>nrUrbMultiFamilyUnits</f>
        <v>0</v>
      </c>
      <c r="D29" s="274">
        <f>IF(nrClimateZone=4,4434,3685)</f>
        <v>3685</v>
      </c>
      <c r="E29" s="274">
        <f>+C29*D29/1000</f>
        <v>0</v>
      </c>
      <c r="F29" s="507"/>
      <c r="G29" s="273">
        <f>IF(F29&gt;0,F29*C$132/2204,E29*C$132/2204)</f>
        <v>0</v>
      </c>
      <c r="H29" s="275">
        <f>IF(F29&gt;0,F29*D$132/2204,E29*D$132/2204)</f>
        <v>0</v>
      </c>
      <c r="I29" s="275">
        <f>IF(F29&gt;0,F29*E$132/2204,E29*E$132/2204)</f>
        <v>0</v>
      </c>
      <c r="J29" s="273">
        <v>22.5</v>
      </c>
      <c r="K29" s="273">
        <f>C29*J29</f>
        <v>0</v>
      </c>
      <c r="L29" s="507"/>
      <c r="M29" s="273">
        <f>IF(L29&gt;0,L29*C$134*2.2/2204,K29*C$134*2.2/2204)</f>
        <v>0</v>
      </c>
      <c r="N29" s="273">
        <f>IF(L29&gt;0,L29*D$134*2.2/2204,K29*D$134*2.2/2204)</f>
        <v>0</v>
      </c>
      <c r="O29" s="273">
        <f>IF(L29&gt;0,L29*E$134*2.2/2204,K29*E$134*2.2/2204)</f>
        <v>0</v>
      </c>
      <c r="P29" s="59">
        <f>IF(F29&gt;0,F29,E29)</f>
        <v>0</v>
      </c>
      <c r="Q29" s="59">
        <f>IF(L29:L237,L29,K29)</f>
        <v>0</v>
      </c>
    </row>
    <row r="30" spans="2:5" ht="15" customHeight="1">
      <c r="B30" s="28"/>
      <c r="C30" s="29"/>
      <c r="D30" s="63"/>
      <c r="E30" s="63"/>
    </row>
    <row r="31" spans="2:5" ht="15" customHeight="1">
      <c r="B31" s="66" t="s">
        <v>331</v>
      </c>
      <c r="C31" s="29"/>
      <c r="D31" s="63"/>
      <c r="E31" s="63"/>
    </row>
    <row r="32" spans="2:26" ht="75">
      <c r="B32" s="277" t="s">
        <v>239</v>
      </c>
      <c r="C32" s="62" t="s">
        <v>293</v>
      </c>
      <c r="D32" s="62" t="s">
        <v>294</v>
      </c>
      <c r="E32" s="62" t="s">
        <v>295</v>
      </c>
      <c r="F32" s="62" t="s">
        <v>296</v>
      </c>
      <c r="G32" s="62" t="s">
        <v>297</v>
      </c>
      <c r="H32" s="62" t="s">
        <v>298</v>
      </c>
      <c r="I32" s="62" t="s">
        <v>299</v>
      </c>
      <c r="J32" s="62" t="s">
        <v>300</v>
      </c>
      <c r="K32" s="62" t="s">
        <v>296</v>
      </c>
      <c r="L32" s="62" t="s">
        <v>297</v>
      </c>
      <c r="M32" s="382" t="s">
        <v>298</v>
      </c>
      <c r="N32" s="59" t="s">
        <v>612</v>
      </c>
      <c r="O32" s="59" t="s">
        <v>611</v>
      </c>
      <c r="R32" s="557" t="s">
        <v>714</v>
      </c>
      <c r="S32" s="556"/>
      <c r="T32" s="556"/>
      <c r="U32" s="117"/>
      <c r="V32" s="117"/>
      <c r="W32" s="117"/>
      <c r="X32" s="117"/>
      <c r="Y32" s="117"/>
      <c r="Z32" s="122"/>
    </row>
    <row r="33" spans="2:26" ht="45">
      <c r="B33" s="277" t="s">
        <v>209</v>
      </c>
      <c r="C33" s="60">
        <f>INDEX(nrUrbLandUseSqFt,1)</f>
        <v>0</v>
      </c>
      <c r="D33" s="60">
        <f>IF(nrClimateZone=4,$C33*$C$148,$C33*$E$148)</f>
        <v>0</v>
      </c>
      <c r="E33" s="474"/>
      <c r="F33" s="60">
        <f aca="true" t="shared" si="0" ref="F33:F75">IF(E33&gt;0,E33*C$132/2204,D33*C$132/2204)</f>
        <v>0</v>
      </c>
      <c r="G33" s="85">
        <f>IF(E33&gt;0,E33*D$132/2204,D33*D$132/2204)</f>
        <v>0</v>
      </c>
      <c r="H33" s="85">
        <f>IF(E33&gt;0,E33*E$132/2204,D33*E$132/2204)</f>
        <v>0</v>
      </c>
      <c r="I33" s="60">
        <f>IF(nrClimateZone=4,$C33*$D$148*1000,$C33*$F$148*1000)</f>
        <v>0</v>
      </c>
      <c r="J33" s="474"/>
      <c r="K33" s="60">
        <f>IF(J33&gt;0,J33*C$134*2.2/2204,I33*C$134*2.2/2204)</f>
        <v>0</v>
      </c>
      <c r="L33" s="276">
        <f>IF(J33&gt;0,J33*D$134*2.2/2204,I33*D$134*2.2/2204)</f>
        <v>0</v>
      </c>
      <c r="M33" s="383">
        <f>IF(J33&gt;0,J33*E$134*2.2/2204,I33*E$134*2.2/2204)</f>
        <v>0</v>
      </c>
      <c r="N33" s="59">
        <f aca="true" t="shared" si="1" ref="N33:N75">IF(E33&gt;0,E33,D33)</f>
        <v>0</v>
      </c>
      <c r="O33" s="59">
        <f aca="true" t="shared" si="2" ref="O33:O75">IF(J33&gt;0,J33,I33)</f>
        <v>0</v>
      </c>
      <c r="R33" s="559" t="s">
        <v>712</v>
      </c>
      <c r="S33" s="572" t="s">
        <v>723</v>
      </c>
      <c r="T33" s="573" t="s">
        <v>716</v>
      </c>
      <c r="U33" s="62" t="s">
        <v>717</v>
      </c>
      <c r="V33" s="62" t="s">
        <v>718</v>
      </c>
      <c r="W33" s="62" t="s">
        <v>719</v>
      </c>
      <c r="X33" s="62" t="s">
        <v>720</v>
      </c>
      <c r="Y33" s="62" t="s">
        <v>721</v>
      </c>
      <c r="Z33" s="62" t="s">
        <v>722</v>
      </c>
    </row>
    <row r="34" spans="2:26" ht="15">
      <c r="B34" s="277" t="s">
        <v>206</v>
      </c>
      <c r="C34" s="60">
        <f>INDEX(nrUrbLandUseSqFt,2)</f>
        <v>0</v>
      </c>
      <c r="D34" s="60">
        <f>IF(nrClimateZone=4,$C34*$C$148,$C34*$E$148)</f>
        <v>0</v>
      </c>
      <c r="E34" s="474"/>
      <c r="F34" s="60">
        <f t="shared" si="0"/>
        <v>0</v>
      </c>
      <c r="G34" s="85">
        <f aca="true" t="shared" si="3" ref="G34:G75">IF(E34&gt;0,E34*D$132/2204,D34*D$132/2204)</f>
        <v>0</v>
      </c>
      <c r="H34" s="85">
        <f aca="true" t="shared" si="4" ref="H34:H75">IF(E34&gt;0,E34*E$132/2204,D34*E$132/2204)</f>
        <v>0</v>
      </c>
      <c r="I34" s="60">
        <f>IF(nrClimateZone=4,$C34*$D$148*1000,$C34*$F$148*1000)</f>
        <v>0</v>
      </c>
      <c r="J34" s="474"/>
      <c r="K34" s="60">
        <f aca="true" t="shared" si="5" ref="K34:K75">IF(J34&gt;0,J34*C$134*2.2/2204,I34*C$134*2.2/2204)</f>
        <v>0</v>
      </c>
      <c r="L34" s="276">
        <f>IF(J34&gt;0,J34*D$134*2.2/2204,I34*D$134*2.2/2204)</f>
        <v>0</v>
      </c>
      <c r="M34" s="383">
        <f>IF(J34&gt;0,J34*E$134*2.2/2204,I34*E$134*2.2/2204)</f>
        <v>0</v>
      </c>
      <c r="N34" s="59">
        <f t="shared" si="1"/>
        <v>0</v>
      </c>
      <c r="O34" s="59">
        <f t="shared" si="2"/>
        <v>0</v>
      </c>
      <c r="R34" s="552"/>
      <c r="S34" s="553"/>
      <c r="T34" s="558"/>
      <c r="U34" s="554">
        <f>S34*C$132/2204</f>
        <v>0</v>
      </c>
      <c r="V34" s="555">
        <f>S34*D$132/2204</f>
        <v>0</v>
      </c>
      <c r="W34" s="555">
        <f>S34*E$132/2204</f>
        <v>0</v>
      </c>
      <c r="X34" s="554">
        <f>T34*C$134*2.2/2204</f>
        <v>0</v>
      </c>
      <c r="Y34" s="555">
        <f>T34*D$134*2.2/2204</f>
        <v>0</v>
      </c>
      <c r="Z34" s="555">
        <f>T34*E$134*2.2/2204</f>
        <v>0</v>
      </c>
    </row>
    <row r="35" spans="2:26" ht="15">
      <c r="B35" s="277" t="s">
        <v>203</v>
      </c>
      <c r="C35" s="60">
        <f>INDEX(nrUrbLandUseSqFt,3)</f>
        <v>0</v>
      </c>
      <c r="D35" s="60">
        <f>IF(nrClimateZone=4,$C35*$C$148,$C35*$E$148)</f>
        <v>0</v>
      </c>
      <c r="E35" s="474"/>
      <c r="F35" s="60">
        <f t="shared" si="0"/>
        <v>0</v>
      </c>
      <c r="G35" s="85">
        <f t="shared" si="3"/>
        <v>0</v>
      </c>
      <c r="H35" s="85">
        <f t="shared" si="4"/>
        <v>0</v>
      </c>
      <c r="I35" s="60">
        <f>IF(nrClimateZone=4,$C35*$D$148*1000,$C35*$F$148*1000)</f>
        <v>0</v>
      </c>
      <c r="J35" s="474"/>
      <c r="K35" s="60">
        <f t="shared" si="5"/>
        <v>0</v>
      </c>
      <c r="L35" s="276">
        <f aca="true" t="shared" si="6" ref="L35:L75">IF(J35&gt;0,J35*D$134*2.2/2204,I35*D$134*2.2/2204)</f>
        <v>0</v>
      </c>
      <c r="M35" s="383">
        <f aca="true" t="shared" si="7" ref="M35:M75">IF(J35&gt;0,J35*E$134*2.2/2204,I35*E$134*2.2/2204)</f>
        <v>0</v>
      </c>
      <c r="N35" s="59">
        <f t="shared" si="1"/>
        <v>0</v>
      </c>
      <c r="O35" s="59">
        <f t="shared" si="2"/>
        <v>0</v>
      </c>
      <c r="R35" s="552"/>
      <c r="S35" s="553"/>
      <c r="T35" s="558"/>
      <c r="U35" s="554">
        <f aca="true" t="shared" si="8" ref="U35:U75">S35*C$132/2204</f>
        <v>0</v>
      </c>
      <c r="V35" s="555">
        <f aca="true" t="shared" si="9" ref="V35:V75">S35*D$132/2204</f>
        <v>0</v>
      </c>
      <c r="W35" s="555">
        <f aca="true" t="shared" si="10" ref="W35:W75">S35*E$132/2204</f>
        <v>0</v>
      </c>
      <c r="X35" s="554">
        <f aca="true" t="shared" si="11" ref="X35:X75">T35*C$134*2.2/2204</f>
        <v>0</v>
      </c>
      <c r="Y35" s="555">
        <f aca="true" t="shared" si="12" ref="Y35:Y75">T35*D$134*2.2/2204</f>
        <v>0</v>
      </c>
      <c r="Z35" s="555">
        <f aca="true" t="shared" si="13" ref="Z35:Z75">T35*E$134*2.2/2204</f>
        <v>0</v>
      </c>
    </row>
    <row r="36" spans="2:26" ht="15">
      <c r="B36" s="277" t="s">
        <v>201</v>
      </c>
      <c r="C36" s="60">
        <f>INDEX(nrUrbLandUseSqFt,4)</f>
        <v>0</v>
      </c>
      <c r="D36" s="60">
        <f>IF(nrClimateZone=4,$C36*$C$148,$C36*$E$148)</f>
        <v>0</v>
      </c>
      <c r="E36" s="474"/>
      <c r="F36" s="60">
        <f t="shared" si="0"/>
        <v>0</v>
      </c>
      <c r="G36" s="85">
        <f t="shared" si="3"/>
        <v>0</v>
      </c>
      <c r="H36" s="85">
        <f t="shared" si="4"/>
        <v>0</v>
      </c>
      <c r="I36" s="60">
        <f>IF(nrClimateZone=4,$C36*$D$148*1000,$C36*$F$148*1000)</f>
        <v>0</v>
      </c>
      <c r="J36" s="474"/>
      <c r="K36" s="60">
        <f t="shared" si="5"/>
        <v>0</v>
      </c>
      <c r="L36" s="276">
        <f t="shared" si="6"/>
        <v>0</v>
      </c>
      <c r="M36" s="383">
        <f t="shared" si="7"/>
        <v>0</v>
      </c>
      <c r="N36" s="59">
        <f t="shared" si="1"/>
        <v>0</v>
      </c>
      <c r="O36" s="59">
        <f t="shared" si="2"/>
        <v>0</v>
      </c>
      <c r="R36" s="552"/>
      <c r="S36" s="553"/>
      <c r="T36" s="558"/>
      <c r="U36" s="554">
        <f t="shared" si="8"/>
        <v>0</v>
      </c>
      <c r="V36" s="555">
        <f t="shared" si="9"/>
        <v>0</v>
      </c>
      <c r="W36" s="555">
        <f t="shared" si="10"/>
        <v>0</v>
      </c>
      <c r="X36" s="554">
        <f t="shared" si="11"/>
        <v>0</v>
      </c>
      <c r="Y36" s="555">
        <f t="shared" si="12"/>
        <v>0</v>
      </c>
      <c r="Z36" s="555">
        <f t="shared" si="13"/>
        <v>0</v>
      </c>
    </row>
    <row r="37" spans="2:26" ht="15">
      <c r="B37" s="277" t="s">
        <v>199</v>
      </c>
      <c r="C37" s="60">
        <f>INDEX(nrUrbLandUseSqFt,5)</f>
        <v>0</v>
      </c>
      <c r="D37" s="60">
        <f>IF(nrClimateZone=4,$C37*$C$149,$C37*$E$149)</f>
        <v>0</v>
      </c>
      <c r="E37" s="474"/>
      <c r="F37" s="60">
        <f t="shared" si="0"/>
        <v>0</v>
      </c>
      <c r="G37" s="85">
        <f t="shared" si="3"/>
        <v>0</v>
      </c>
      <c r="H37" s="85">
        <f t="shared" si="4"/>
        <v>0</v>
      </c>
      <c r="I37" s="60">
        <f>IF(nrClimateZone=4,$C37*$D$149*1000,$C37*$F$149*1000)</f>
        <v>0</v>
      </c>
      <c r="J37" s="474"/>
      <c r="K37" s="60">
        <f t="shared" si="5"/>
        <v>0</v>
      </c>
      <c r="L37" s="276">
        <f t="shared" si="6"/>
        <v>0</v>
      </c>
      <c r="M37" s="383">
        <f t="shared" si="7"/>
        <v>0</v>
      </c>
      <c r="N37" s="59">
        <f t="shared" si="1"/>
        <v>0</v>
      </c>
      <c r="O37" s="59">
        <f t="shared" si="2"/>
        <v>0</v>
      </c>
      <c r="R37" s="552"/>
      <c r="S37" s="553"/>
      <c r="T37" s="558"/>
      <c r="U37" s="554">
        <f t="shared" si="8"/>
        <v>0</v>
      </c>
      <c r="V37" s="555">
        <f t="shared" si="9"/>
        <v>0</v>
      </c>
      <c r="W37" s="555">
        <f t="shared" si="10"/>
        <v>0</v>
      </c>
      <c r="X37" s="554">
        <f t="shared" si="11"/>
        <v>0</v>
      </c>
      <c r="Y37" s="555">
        <f t="shared" si="12"/>
        <v>0</v>
      </c>
      <c r="Z37" s="555">
        <f t="shared" si="13"/>
        <v>0</v>
      </c>
    </row>
    <row r="38" spans="2:26" ht="15">
      <c r="B38" s="277" t="s">
        <v>197</v>
      </c>
      <c r="C38" s="60">
        <f>INDEX(nrUrbLandUseSqFt,6)</f>
        <v>0</v>
      </c>
      <c r="D38" s="60">
        <f>IF(nrClimateZone=4,$C38*$C$149,$C38*$E$149)</f>
        <v>0</v>
      </c>
      <c r="E38" s="474"/>
      <c r="F38" s="60">
        <f t="shared" si="0"/>
        <v>0</v>
      </c>
      <c r="G38" s="85">
        <f t="shared" si="3"/>
        <v>0</v>
      </c>
      <c r="H38" s="85">
        <f t="shared" si="4"/>
        <v>0</v>
      </c>
      <c r="I38" s="60">
        <f>IF(nrClimateZone=4,$C38*$D$149*1000,$C38*$F$149*1000)</f>
        <v>0</v>
      </c>
      <c r="J38" s="474"/>
      <c r="K38" s="60">
        <f t="shared" si="5"/>
        <v>0</v>
      </c>
      <c r="L38" s="276">
        <f t="shared" si="6"/>
        <v>0</v>
      </c>
      <c r="M38" s="383">
        <f t="shared" si="7"/>
        <v>0</v>
      </c>
      <c r="N38" s="59">
        <f t="shared" si="1"/>
        <v>0</v>
      </c>
      <c r="O38" s="59">
        <f t="shared" si="2"/>
        <v>0</v>
      </c>
      <c r="R38" s="552"/>
      <c r="S38" s="553"/>
      <c r="T38" s="558"/>
      <c r="U38" s="554">
        <f t="shared" si="8"/>
        <v>0</v>
      </c>
      <c r="V38" s="555">
        <f t="shared" si="9"/>
        <v>0</v>
      </c>
      <c r="W38" s="555">
        <f t="shared" si="10"/>
        <v>0</v>
      </c>
      <c r="X38" s="554">
        <f t="shared" si="11"/>
        <v>0</v>
      </c>
      <c r="Y38" s="555">
        <f t="shared" si="12"/>
        <v>0</v>
      </c>
      <c r="Z38" s="555">
        <f t="shared" si="13"/>
        <v>0</v>
      </c>
    </row>
    <row r="39" spans="2:26" ht="15">
      <c r="B39" s="277" t="s">
        <v>195</v>
      </c>
      <c r="C39" s="60">
        <f>INDEX(nrUrbLandUseSqFt,7)</f>
        <v>0</v>
      </c>
      <c r="D39" s="60">
        <f>IF(nrClimateZone=4,$C39*$C$141,$C39*$E$141)</f>
        <v>0</v>
      </c>
      <c r="E39" s="474"/>
      <c r="F39" s="60">
        <f>IF(E39&gt;0,E39*C$132/2204,D39*C$132/2204)</f>
        <v>0</v>
      </c>
      <c r="G39" s="85">
        <f t="shared" si="3"/>
        <v>0</v>
      </c>
      <c r="H39" s="85">
        <f t="shared" si="4"/>
        <v>0</v>
      </c>
      <c r="I39" s="60">
        <f>IF(nrClimateZone=4,$C39*$D$141*1000,$C39*$F$141*1000)</f>
        <v>0</v>
      </c>
      <c r="J39" s="474"/>
      <c r="K39" s="60">
        <f t="shared" si="5"/>
        <v>0</v>
      </c>
      <c r="L39" s="276">
        <f t="shared" si="6"/>
        <v>0</v>
      </c>
      <c r="M39" s="383">
        <f t="shared" si="7"/>
        <v>0</v>
      </c>
      <c r="N39" s="59">
        <f t="shared" si="1"/>
        <v>0</v>
      </c>
      <c r="O39" s="59">
        <f t="shared" si="2"/>
        <v>0</v>
      </c>
      <c r="R39" s="552"/>
      <c r="S39" s="553"/>
      <c r="T39" s="558"/>
      <c r="U39" s="554">
        <f t="shared" si="8"/>
        <v>0</v>
      </c>
      <c r="V39" s="555">
        <f t="shared" si="9"/>
        <v>0</v>
      </c>
      <c r="W39" s="555">
        <f t="shared" si="10"/>
        <v>0</v>
      </c>
      <c r="X39" s="554">
        <f t="shared" si="11"/>
        <v>0</v>
      </c>
      <c r="Y39" s="555">
        <f t="shared" si="12"/>
        <v>0</v>
      </c>
      <c r="Z39" s="555">
        <f t="shared" si="13"/>
        <v>0</v>
      </c>
    </row>
    <row r="40" spans="2:26" ht="15">
      <c r="B40" s="277" t="s">
        <v>193</v>
      </c>
      <c r="C40" s="60">
        <f>INDEX(nrUrbLandUseSqFt,8)</f>
        <v>42.2</v>
      </c>
      <c r="D40" s="60">
        <f>IF(nrClimateZone=4,$C40*$C$152,$C40*$E$152)</f>
        <v>378.80671082586053</v>
      </c>
      <c r="E40" s="474"/>
      <c r="F40" s="60">
        <f t="shared" si="0"/>
        <v>138.27819924130574</v>
      </c>
      <c r="G40" s="85">
        <f t="shared" si="3"/>
        <v>0.0011515449013308828</v>
      </c>
      <c r="H40" s="85">
        <f t="shared" si="4"/>
        <v>0.0006359277813319801</v>
      </c>
      <c r="I40" s="60">
        <f>IF(nrClimateZone=4,$C40*$D$152*1000,$C40*$F$152*1000)</f>
        <v>1149.3351360321026</v>
      </c>
      <c r="J40" s="474"/>
      <c r="K40" s="60">
        <f t="shared" si="5"/>
        <v>60.87304405594347</v>
      </c>
      <c r="L40" s="276">
        <f t="shared" si="6"/>
        <v>0.005736246141721021</v>
      </c>
      <c r="M40" s="383">
        <f t="shared" si="7"/>
        <v>0.00011472492283442042</v>
      </c>
      <c r="N40" s="59">
        <f t="shared" si="1"/>
        <v>378.80671082586053</v>
      </c>
      <c r="O40" s="59">
        <f t="shared" si="2"/>
        <v>1149.3351360321026</v>
      </c>
      <c r="R40" s="552"/>
      <c r="S40" s="553"/>
      <c r="T40" s="558"/>
      <c r="U40" s="554">
        <f t="shared" si="8"/>
        <v>0</v>
      </c>
      <c r="V40" s="555">
        <f t="shared" si="9"/>
        <v>0</v>
      </c>
      <c r="W40" s="555">
        <f t="shared" si="10"/>
        <v>0</v>
      </c>
      <c r="X40" s="554">
        <f t="shared" si="11"/>
        <v>0</v>
      </c>
      <c r="Y40" s="555">
        <f t="shared" si="12"/>
        <v>0</v>
      </c>
      <c r="Z40" s="555">
        <f t="shared" si="13"/>
        <v>0</v>
      </c>
    </row>
    <row r="41" spans="2:26" ht="15">
      <c r="B41" s="277" t="s">
        <v>190</v>
      </c>
      <c r="C41" s="60">
        <f>INDEX(nrUrbLandUseSqFt,9)</f>
        <v>0</v>
      </c>
      <c r="D41" s="60">
        <v>0</v>
      </c>
      <c r="E41" s="474"/>
      <c r="F41" s="60">
        <f t="shared" si="0"/>
        <v>0</v>
      </c>
      <c r="G41" s="85">
        <f t="shared" si="3"/>
        <v>0</v>
      </c>
      <c r="H41" s="85">
        <f t="shared" si="4"/>
        <v>0</v>
      </c>
      <c r="I41" s="60">
        <v>0</v>
      </c>
      <c r="J41" s="474"/>
      <c r="K41" s="60">
        <f t="shared" si="5"/>
        <v>0</v>
      </c>
      <c r="L41" s="276">
        <f t="shared" si="6"/>
        <v>0</v>
      </c>
      <c r="M41" s="383">
        <f t="shared" si="7"/>
        <v>0</v>
      </c>
      <c r="N41" s="59">
        <f t="shared" si="1"/>
        <v>0</v>
      </c>
      <c r="O41" s="59">
        <f t="shared" si="2"/>
        <v>0</v>
      </c>
      <c r="R41" s="552"/>
      <c r="S41" s="553"/>
      <c r="T41" s="558"/>
      <c r="U41" s="554">
        <f t="shared" si="8"/>
        <v>0</v>
      </c>
      <c r="V41" s="555">
        <f t="shared" si="9"/>
        <v>0</v>
      </c>
      <c r="W41" s="555">
        <f t="shared" si="10"/>
        <v>0</v>
      </c>
      <c r="X41" s="554">
        <f t="shared" si="11"/>
        <v>0</v>
      </c>
      <c r="Y41" s="555">
        <f t="shared" si="12"/>
        <v>0</v>
      </c>
      <c r="Z41" s="555">
        <f t="shared" si="13"/>
        <v>0</v>
      </c>
    </row>
    <row r="42" spans="2:26" ht="15">
      <c r="B42" s="277" t="s">
        <v>188</v>
      </c>
      <c r="C42" s="60">
        <f>INDEX(nrUrbLandUseSqFt,10)</f>
        <v>0</v>
      </c>
      <c r="D42" s="60">
        <f>IF(nrClimateZone=4,$C42*$C$144,$C42*$E$144)</f>
        <v>0</v>
      </c>
      <c r="E42" s="474"/>
      <c r="F42" s="60">
        <f t="shared" si="0"/>
        <v>0</v>
      </c>
      <c r="G42" s="85">
        <f t="shared" si="3"/>
        <v>0</v>
      </c>
      <c r="H42" s="85">
        <f t="shared" si="4"/>
        <v>0</v>
      </c>
      <c r="I42" s="60">
        <f>IF(nrClimateZone=4,$C42*$D$144*1000,$C42*$F$144*1000)</f>
        <v>0</v>
      </c>
      <c r="J42" s="474"/>
      <c r="K42" s="60">
        <f t="shared" si="5"/>
        <v>0</v>
      </c>
      <c r="L42" s="276">
        <f t="shared" si="6"/>
        <v>0</v>
      </c>
      <c r="M42" s="383">
        <f t="shared" si="7"/>
        <v>0</v>
      </c>
      <c r="N42" s="59">
        <f t="shared" si="1"/>
        <v>0</v>
      </c>
      <c r="O42" s="59">
        <f t="shared" si="2"/>
        <v>0</v>
      </c>
      <c r="R42" s="552"/>
      <c r="S42" s="553"/>
      <c r="T42" s="558"/>
      <c r="U42" s="554">
        <f t="shared" si="8"/>
        <v>0</v>
      </c>
      <c r="V42" s="555">
        <f t="shared" si="9"/>
        <v>0</v>
      </c>
      <c r="W42" s="555">
        <f t="shared" si="10"/>
        <v>0</v>
      </c>
      <c r="X42" s="554">
        <f t="shared" si="11"/>
        <v>0</v>
      </c>
      <c r="Y42" s="555">
        <f t="shared" si="12"/>
        <v>0</v>
      </c>
      <c r="Z42" s="555">
        <f t="shared" si="13"/>
        <v>0</v>
      </c>
    </row>
    <row r="43" spans="2:26" ht="15">
      <c r="B43" s="277" t="s">
        <v>186</v>
      </c>
      <c r="C43" s="60">
        <f>INDEX(nrUrbLandUseSqFt,11)</f>
        <v>0</v>
      </c>
      <c r="D43" s="60">
        <f>IF(nrClimateZone=4,$C43*$C$144,$C43*$E$144)</f>
        <v>0</v>
      </c>
      <c r="E43" s="474"/>
      <c r="F43" s="60">
        <f t="shared" si="0"/>
        <v>0</v>
      </c>
      <c r="G43" s="85">
        <f t="shared" si="3"/>
        <v>0</v>
      </c>
      <c r="H43" s="85">
        <f t="shared" si="4"/>
        <v>0</v>
      </c>
      <c r="I43" s="60">
        <f>IF(nrClimateZone=4,$C43*$D$144*1000,$C43*$F$144*1000)</f>
        <v>0</v>
      </c>
      <c r="J43" s="474"/>
      <c r="K43" s="60">
        <f t="shared" si="5"/>
        <v>0</v>
      </c>
      <c r="L43" s="276">
        <f t="shared" si="6"/>
        <v>0</v>
      </c>
      <c r="M43" s="383">
        <f t="shared" si="7"/>
        <v>0</v>
      </c>
      <c r="N43" s="59">
        <f t="shared" si="1"/>
        <v>0</v>
      </c>
      <c r="O43" s="59">
        <f t="shared" si="2"/>
        <v>0</v>
      </c>
      <c r="R43" s="552"/>
      <c r="S43" s="553"/>
      <c r="T43" s="558"/>
      <c r="U43" s="554">
        <f t="shared" si="8"/>
        <v>0</v>
      </c>
      <c r="V43" s="555">
        <f t="shared" si="9"/>
        <v>0</v>
      </c>
      <c r="W43" s="555">
        <f t="shared" si="10"/>
        <v>0</v>
      </c>
      <c r="X43" s="554">
        <f t="shared" si="11"/>
        <v>0</v>
      </c>
      <c r="Y43" s="555">
        <f t="shared" si="12"/>
        <v>0</v>
      </c>
      <c r="Z43" s="555">
        <f t="shared" si="13"/>
        <v>0</v>
      </c>
    </row>
    <row r="44" spans="2:26" ht="15">
      <c r="B44" s="277" t="s">
        <v>184</v>
      </c>
      <c r="C44" s="60">
        <f>INDEX(nrUrbLandUseSqFt,12)</f>
        <v>0</v>
      </c>
      <c r="D44" s="60">
        <f>IF(nrClimateZone=4,$C44*$C$143,$C44*$E$143)</f>
        <v>0</v>
      </c>
      <c r="E44" s="474"/>
      <c r="F44" s="60">
        <f t="shared" si="0"/>
        <v>0</v>
      </c>
      <c r="G44" s="85">
        <f t="shared" si="3"/>
        <v>0</v>
      </c>
      <c r="H44" s="85">
        <f t="shared" si="4"/>
        <v>0</v>
      </c>
      <c r="I44" s="60">
        <f>IF(nrClimateZone=4,$C44*$D$143*1000,$C44*$F$143*1000)</f>
        <v>0</v>
      </c>
      <c r="J44" s="474"/>
      <c r="K44" s="60">
        <f t="shared" si="5"/>
        <v>0</v>
      </c>
      <c r="L44" s="276">
        <f t="shared" si="6"/>
        <v>0</v>
      </c>
      <c r="M44" s="383">
        <f t="shared" si="7"/>
        <v>0</v>
      </c>
      <c r="N44" s="59">
        <f t="shared" si="1"/>
        <v>0</v>
      </c>
      <c r="O44" s="59">
        <f t="shared" si="2"/>
        <v>0</v>
      </c>
      <c r="R44" s="552"/>
      <c r="S44" s="553"/>
      <c r="T44" s="558"/>
      <c r="U44" s="554">
        <f t="shared" si="8"/>
        <v>0</v>
      </c>
      <c r="V44" s="555">
        <f t="shared" si="9"/>
        <v>0</v>
      </c>
      <c r="W44" s="555">
        <f t="shared" si="10"/>
        <v>0</v>
      </c>
      <c r="X44" s="554">
        <f t="shared" si="11"/>
        <v>0</v>
      </c>
      <c r="Y44" s="555">
        <f t="shared" si="12"/>
        <v>0</v>
      </c>
      <c r="Z44" s="555">
        <f t="shared" si="13"/>
        <v>0</v>
      </c>
    </row>
    <row r="45" spans="2:26" ht="15">
      <c r="B45" s="277" t="s">
        <v>183</v>
      </c>
      <c r="C45" s="60">
        <f>INDEX(nrUrbLandUseSqFt,13)</f>
        <v>0</v>
      </c>
      <c r="D45" s="60">
        <f>IF(nrClimateZone=4,$C45*$C$143,$C45*$E$143)</f>
        <v>0</v>
      </c>
      <c r="E45" s="474"/>
      <c r="F45" s="60">
        <f t="shared" si="0"/>
        <v>0</v>
      </c>
      <c r="G45" s="85">
        <f t="shared" si="3"/>
        <v>0</v>
      </c>
      <c r="H45" s="85">
        <f t="shared" si="4"/>
        <v>0</v>
      </c>
      <c r="I45" s="60">
        <f>IF(nrClimateZone=4,$C45*$D$143*1000,$C45*$F$143*1000)</f>
        <v>0</v>
      </c>
      <c r="J45" s="474"/>
      <c r="K45" s="60">
        <f t="shared" si="5"/>
        <v>0</v>
      </c>
      <c r="L45" s="276">
        <f t="shared" si="6"/>
        <v>0</v>
      </c>
      <c r="M45" s="383">
        <f t="shared" si="7"/>
        <v>0</v>
      </c>
      <c r="N45" s="59">
        <f t="shared" si="1"/>
        <v>0</v>
      </c>
      <c r="O45" s="59">
        <f t="shared" si="2"/>
        <v>0</v>
      </c>
      <c r="R45" s="552"/>
      <c r="S45" s="553"/>
      <c r="T45" s="558"/>
      <c r="U45" s="554">
        <f t="shared" si="8"/>
        <v>0</v>
      </c>
      <c r="V45" s="555">
        <f t="shared" si="9"/>
        <v>0</v>
      </c>
      <c r="W45" s="555">
        <f t="shared" si="10"/>
        <v>0</v>
      </c>
      <c r="X45" s="554">
        <f t="shared" si="11"/>
        <v>0</v>
      </c>
      <c r="Y45" s="555">
        <f t="shared" si="12"/>
        <v>0</v>
      </c>
      <c r="Z45" s="555">
        <f t="shared" si="13"/>
        <v>0</v>
      </c>
    </row>
    <row r="46" spans="2:26" ht="15">
      <c r="B46" s="277" t="s">
        <v>180</v>
      </c>
      <c r="C46" s="60">
        <f>INDEX(nrUrbLandUseSqFt,14)</f>
        <v>0</v>
      </c>
      <c r="D46" s="60">
        <f>IF(nrClimateZone=4,$C46*$C$143,$C46*$E$143)</f>
        <v>0</v>
      </c>
      <c r="E46" s="474"/>
      <c r="F46" s="60">
        <f t="shared" si="0"/>
        <v>0</v>
      </c>
      <c r="G46" s="85">
        <f t="shared" si="3"/>
        <v>0</v>
      </c>
      <c r="H46" s="85">
        <f t="shared" si="4"/>
        <v>0</v>
      </c>
      <c r="I46" s="60">
        <f>IF(nrClimateZone=4,$C46*$D$143*1000,$C46*$F$143*1000)</f>
        <v>0</v>
      </c>
      <c r="J46" s="474"/>
      <c r="K46" s="60">
        <f t="shared" si="5"/>
        <v>0</v>
      </c>
      <c r="L46" s="276">
        <f t="shared" si="6"/>
        <v>0</v>
      </c>
      <c r="M46" s="383">
        <f t="shared" si="7"/>
        <v>0</v>
      </c>
      <c r="N46" s="59">
        <f t="shared" si="1"/>
        <v>0</v>
      </c>
      <c r="O46" s="59">
        <f t="shared" si="2"/>
        <v>0</v>
      </c>
      <c r="R46" s="552"/>
      <c r="S46" s="553"/>
      <c r="T46" s="558"/>
      <c r="U46" s="554">
        <f t="shared" si="8"/>
        <v>0</v>
      </c>
      <c r="V46" s="555">
        <f t="shared" si="9"/>
        <v>0</v>
      </c>
      <c r="W46" s="555">
        <f t="shared" si="10"/>
        <v>0</v>
      </c>
      <c r="X46" s="554">
        <f t="shared" si="11"/>
        <v>0</v>
      </c>
      <c r="Y46" s="555">
        <f t="shared" si="12"/>
        <v>0</v>
      </c>
      <c r="Z46" s="555">
        <f t="shared" si="13"/>
        <v>0</v>
      </c>
    </row>
    <row r="47" spans="2:26" ht="15">
      <c r="B47" s="277" t="s">
        <v>179</v>
      </c>
      <c r="C47" s="60">
        <f>INDEX(nrUrbLandUseSqFt,15)</f>
        <v>0</v>
      </c>
      <c r="D47" s="60">
        <f>IF(nrClimateZone=4,$C47*$C$143,$C47*$E$143)</f>
        <v>0</v>
      </c>
      <c r="E47" s="474"/>
      <c r="F47" s="60">
        <f t="shared" si="0"/>
        <v>0</v>
      </c>
      <c r="G47" s="85">
        <f t="shared" si="3"/>
        <v>0</v>
      </c>
      <c r="H47" s="85">
        <f t="shared" si="4"/>
        <v>0</v>
      </c>
      <c r="I47" s="60">
        <f>IF(nrClimateZone=4,$C47*$D$143*1000,$C47*$F$143*1000)</f>
        <v>0</v>
      </c>
      <c r="J47" s="474"/>
      <c r="K47" s="60">
        <f t="shared" si="5"/>
        <v>0</v>
      </c>
      <c r="L47" s="276">
        <f t="shared" si="6"/>
        <v>0</v>
      </c>
      <c r="M47" s="383">
        <f t="shared" si="7"/>
        <v>0</v>
      </c>
      <c r="N47" s="59">
        <f t="shared" si="1"/>
        <v>0</v>
      </c>
      <c r="O47" s="59">
        <f t="shared" si="2"/>
        <v>0</v>
      </c>
      <c r="R47" s="552"/>
      <c r="S47" s="553"/>
      <c r="T47" s="558"/>
      <c r="U47" s="554">
        <f t="shared" si="8"/>
        <v>0</v>
      </c>
      <c r="V47" s="555">
        <f t="shared" si="9"/>
        <v>0</v>
      </c>
      <c r="W47" s="555">
        <f t="shared" si="10"/>
        <v>0</v>
      </c>
      <c r="X47" s="554">
        <f t="shared" si="11"/>
        <v>0</v>
      </c>
      <c r="Y47" s="555">
        <f t="shared" si="12"/>
        <v>0</v>
      </c>
      <c r="Z47" s="555">
        <f t="shared" si="13"/>
        <v>0</v>
      </c>
    </row>
    <row r="48" spans="2:26" ht="15">
      <c r="B48" s="277" t="s">
        <v>178</v>
      </c>
      <c r="C48" s="60">
        <f>INDEX(nrUrbLandUseSqFt,16)</f>
        <v>0</v>
      </c>
      <c r="D48" s="60">
        <f>IF(nrClimateZone=4,$C48*$C$151,$C48*$E$151)</f>
        <v>0</v>
      </c>
      <c r="E48" s="474"/>
      <c r="F48" s="60">
        <f t="shared" si="0"/>
        <v>0</v>
      </c>
      <c r="G48" s="85">
        <f t="shared" si="3"/>
        <v>0</v>
      </c>
      <c r="H48" s="85">
        <f t="shared" si="4"/>
        <v>0</v>
      </c>
      <c r="I48" s="60">
        <f>IF(nrClimateZone=4,$C48*$D$151*1000,$C48*$F$151*1000)</f>
        <v>0</v>
      </c>
      <c r="J48" s="474"/>
      <c r="K48" s="60">
        <f t="shared" si="5"/>
        <v>0</v>
      </c>
      <c r="L48" s="276">
        <f t="shared" si="6"/>
        <v>0</v>
      </c>
      <c r="M48" s="383">
        <f t="shared" si="7"/>
        <v>0</v>
      </c>
      <c r="N48" s="59">
        <f t="shared" si="1"/>
        <v>0</v>
      </c>
      <c r="O48" s="59">
        <f t="shared" si="2"/>
        <v>0</v>
      </c>
      <c r="R48" s="552"/>
      <c r="S48" s="553"/>
      <c r="T48" s="558"/>
      <c r="U48" s="554">
        <f t="shared" si="8"/>
        <v>0</v>
      </c>
      <c r="V48" s="555">
        <f t="shared" si="9"/>
        <v>0</v>
      </c>
      <c r="W48" s="555">
        <f t="shared" si="10"/>
        <v>0</v>
      </c>
      <c r="X48" s="554">
        <f t="shared" si="11"/>
        <v>0</v>
      </c>
      <c r="Y48" s="555">
        <f t="shared" si="12"/>
        <v>0</v>
      </c>
      <c r="Z48" s="555">
        <f t="shared" si="13"/>
        <v>0</v>
      </c>
    </row>
    <row r="49" spans="2:26" ht="15">
      <c r="B49" s="277" t="s">
        <v>176</v>
      </c>
      <c r="C49" s="60">
        <f>INDEX(nrUrbLandUseSqFt,17)</f>
        <v>0</v>
      </c>
      <c r="D49" s="60">
        <f>IF(nrClimateZone=4,$C49*$C$151,$C49*$E$151)</f>
        <v>0</v>
      </c>
      <c r="E49" s="474"/>
      <c r="F49" s="60">
        <f t="shared" si="0"/>
        <v>0</v>
      </c>
      <c r="G49" s="85">
        <f t="shared" si="3"/>
        <v>0</v>
      </c>
      <c r="H49" s="85">
        <f t="shared" si="4"/>
        <v>0</v>
      </c>
      <c r="I49" s="60">
        <f>IF(nrClimateZone=4,$C49*$D$151*1000,$C49*$F$151*1000)</f>
        <v>0</v>
      </c>
      <c r="J49" s="474"/>
      <c r="K49" s="60">
        <f t="shared" si="5"/>
        <v>0</v>
      </c>
      <c r="L49" s="276">
        <f t="shared" si="6"/>
        <v>0</v>
      </c>
      <c r="M49" s="383">
        <f t="shared" si="7"/>
        <v>0</v>
      </c>
      <c r="N49" s="59">
        <f t="shared" si="1"/>
        <v>0</v>
      </c>
      <c r="O49" s="59">
        <f t="shared" si="2"/>
        <v>0</v>
      </c>
      <c r="R49" s="552"/>
      <c r="S49" s="553"/>
      <c r="T49" s="558"/>
      <c r="U49" s="554">
        <f t="shared" si="8"/>
        <v>0</v>
      </c>
      <c r="V49" s="555">
        <f t="shared" si="9"/>
        <v>0</v>
      </c>
      <c r="W49" s="555">
        <f t="shared" si="10"/>
        <v>0</v>
      </c>
      <c r="X49" s="554">
        <f t="shared" si="11"/>
        <v>0</v>
      </c>
      <c r="Y49" s="555">
        <f t="shared" si="12"/>
        <v>0</v>
      </c>
      <c r="Z49" s="555">
        <f t="shared" si="13"/>
        <v>0</v>
      </c>
    </row>
    <row r="50" spans="2:26" ht="15">
      <c r="B50" s="277" t="s">
        <v>174</v>
      </c>
      <c r="C50" s="60">
        <f>INDEX(nrUrbLandUseSqFt,18)</f>
        <v>0</v>
      </c>
      <c r="D50" s="60">
        <f aca="true" t="shared" si="14" ref="D50:D57">IF(nrClimateZone=4,$C50*$C$144,$C50*$E$144)</f>
        <v>0</v>
      </c>
      <c r="E50" s="474"/>
      <c r="F50" s="60">
        <f t="shared" si="0"/>
        <v>0</v>
      </c>
      <c r="G50" s="85">
        <f t="shared" si="3"/>
        <v>0</v>
      </c>
      <c r="H50" s="85">
        <f t="shared" si="4"/>
        <v>0</v>
      </c>
      <c r="I50" s="60">
        <f aca="true" t="shared" si="15" ref="I50:I57">IF(nrClimateZone=4,$C50*$D$144*1000,$C50*$F$144*1000)</f>
        <v>0</v>
      </c>
      <c r="J50" s="474"/>
      <c r="K50" s="60">
        <f t="shared" si="5"/>
        <v>0</v>
      </c>
      <c r="L50" s="276">
        <f t="shared" si="6"/>
        <v>0</v>
      </c>
      <c r="M50" s="383">
        <f t="shared" si="7"/>
        <v>0</v>
      </c>
      <c r="N50" s="59">
        <f t="shared" si="1"/>
        <v>0</v>
      </c>
      <c r="O50" s="59">
        <f t="shared" si="2"/>
        <v>0</v>
      </c>
      <c r="R50" s="552"/>
      <c r="S50" s="553"/>
      <c r="T50" s="558"/>
      <c r="U50" s="554">
        <f t="shared" si="8"/>
        <v>0</v>
      </c>
      <c r="V50" s="555">
        <f t="shared" si="9"/>
        <v>0</v>
      </c>
      <c r="W50" s="555">
        <f t="shared" si="10"/>
        <v>0</v>
      </c>
      <c r="X50" s="554">
        <f t="shared" si="11"/>
        <v>0</v>
      </c>
      <c r="Y50" s="555">
        <f t="shared" si="12"/>
        <v>0</v>
      </c>
      <c r="Z50" s="555">
        <f t="shared" si="13"/>
        <v>0</v>
      </c>
    </row>
    <row r="51" spans="2:26" ht="15">
      <c r="B51" s="277" t="s">
        <v>173</v>
      </c>
      <c r="C51" s="60">
        <f>INDEX(nrUrbLandUseSqFt,19)</f>
        <v>0</v>
      </c>
      <c r="D51" s="60">
        <f t="shared" si="14"/>
        <v>0</v>
      </c>
      <c r="E51" s="474"/>
      <c r="F51" s="60">
        <f t="shared" si="0"/>
        <v>0</v>
      </c>
      <c r="G51" s="85">
        <f t="shared" si="3"/>
        <v>0</v>
      </c>
      <c r="H51" s="85">
        <f t="shared" si="4"/>
        <v>0</v>
      </c>
      <c r="I51" s="60">
        <f t="shared" si="15"/>
        <v>0</v>
      </c>
      <c r="J51" s="474"/>
      <c r="K51" s="60">
        <f t="shared" si="5"/>
        <v>0</v>
      </c>
      <c r="L51" s="276">
        <f t="shared" si="6"/>
        <v>0</v>
      </c>
      <c r="M51" s="383">
        <f t="shared" si="7"/>
        <v>0</v>
      </c>
      <c r="N51" s="59">
        <f t="shared" si="1"/>
        <v>0</v>
      </c>
      <c r="O51" s="59">
        <f t="shared" si="2"/>
        <v>0</v>
      </c>
      <c r="R51" s="552"/>
      <c r="S51" s="553"/>
      <c r="T51" s="558"/>
      <c r="U51" s="554">
        <f t="shared" si="8"/>
        <v>0</v>
      </c>
      <c r="V51" s="555">
        <f t="shared" si="9"/>
        <v>0</v>
      </c>
      <c r="W51" s="555">
        <f t="shared" si="10"/>
        <v>0</v>
      </c>
      <c r="X51" s="554">
        <f t="shared" si="11"/>
        <v>0</v>
      </c>
      <c r="Y51" s="555">
        <f t="shared" si="12"/>
        <v>0</v>
      </c>
      <c r="Z51" s="555">
        <f t="shared" si="13"/>
        <v>0</v>
      </c>
    </row>
    <row r="52" spans="2:26" ht="15">
      <c r="B52" s="277" t="s">
        <v>172</v>
      </c>
      <c r="C52" s="60">
        <f>INDEX(nrUrbLandUseSqFt,20)</f>
        <v>0</v>
      </c>
      <c r="D52" s="60">
        <f t="shared" si="14"/>
        <v>0</v>
      </c>
      <c r="E52" s="474"/>
      <c r="F52" s="60">
        <f t="shared" si="0"/>
        <v>0</v>
      </c>
      <c r="G52" s="85">
        <f t="shared" si="3"/>
        <v>0</v>
      </c>
      <c r="H52" s="85">
        <f t="shared" si="4"/>
        <v>0</v>
      </c>
      <c r="I52" s="60">
        <f t="shared" si="15"/>
        <v>0</v>
      </c>
      <c r="J52" s="474"/>
      <c r="K52" s="60">
        <f t="shared" si="5"/>
        <v>0</v>
      </c>
      <c r="L52" s="276">
        <f t="shared" si="6"/>
        <v>0</v>
      </c>
      <c r="M52" s="383">
        <f t="shared" si="7"/>
        <v>0</v>
      </c>
      <c r="N52" s="59">
        <f t="shared" si="1"/>
        <v>0</v>
      </c>
      <c r="O52" s="59">
        <f t="shared" si="2"/>
        <v>0</v>
      </c>
      <c r="R52" s="552"/>
      <c r="S52" s="553"/>
      <c r="T52" s="558"/>
      <c r="U52" s="554">
        <f t="shared" si="8"/>
        <v>0</v>
      </c>
      <c r="V52" s="555">
        <f t="shared" si="9"/>
        <v>0</v>
      </c>
      <c r="W52" s="555">
        <f t="shared" si="10"/>
        <v>0</v>
      </c>
      <c r="X52" s="554">
        <f t="shared" si="11"/>
        <v>0</v>
      </c>
      <c r="Y52" s="555">
        <f t="shared" si="12"/>
        <v>0</v>
      </c>
      <c r="Z52" s="555">
        <f t="shared" si="13"/>
        <v>0</v>
      </c>
    </row>
    <row r="53" spans="2:26" ht="15">
      <c r="B53" s="277" t="s">
        <v>168</v>
      </c>
      <c r="C53" s="60">
        <f>INDEX(nrUrbLandUseSqFt,21)</f>
        <v>0</v>
      </c>
      <c r="D53" s="60">
        <f t="shared" si="14"/>
        <v>0</v>
      </c>
      <c r="E53" s="474"/>
      <c r="F53" s="60">
        <f t="shared" si="0"/>
        <v>0</v>
      </c>
      <c r="G53" s="85">
        <f t="shared" si="3"/>
        <v>0</v>
      </c>
      <c r="H53" s="85">
        <f t="shared" si="4"/>
        <v>0</v>
      </c>
      <c r="I53" s="60">
        <f t="shared" si="15"/>
        <v>0</v>
      </c>
      <c r="J53" s="474"/>
      <c r="K53" s="60">
        <f t="shared" si="5"/>
        <v>0</v>
      </c>
      <c r="L53" s="276">
        <f t="shared" si="6"/>
        <v>0</v>
      </c>
      <c r="M53" s="383">
        <f t="shared" si="7"/>
        <v>0</v>
      </c>
      <c r="N53" s="59">
        <f t="shared" si="1"/>
        <v>0</v>
      </c>
      <c r="O53" s="59">
        <f t="shared" si="2"/>
        <v>0</v>
      </c>
      <c r="R53" s="552"/>
      <c r="S53" s="553"/>
      <c r="T53" s="558"/>
      <c r="U53" s="554">
        <f t="shared" si="8"/>
        <v>0</v>
      </c>
      <c r="V53" s="555">
        <f t="shared" si="9"/>
        <v>0</v>
      </c>
      <c r="W53" s="555">
        <f t="shared" si="10"/>
        <v>0</v>
      </c>
      <c r="X53" s="554">
        <f t="shared" si="11"/>
        <v>0</v>
      </c>
      <c r="Y53" s="555">
        <f t="shared" si="12"/>
        <v>0</v>
      </c>
      <c r="Z53" s="555">
        <f t="shared" si="13"/>
        <v>0</v>
      </c>
    </row>
    <row r="54" spans="2:26" ht="15">
      <c r="B54" s="277" t="s">
        <v>166</v>
      </c>
      <c r="C54" s="60">
        <f>INDEX(nrUrbLandUseSqFt,22)</f>
        <v>0</v>
      </c>
      <c r="D54" s="60">
        <f t="shared" si="14"/>
        <v>0</v>
      </c>
      <c r="E54" s="474"/>
      <c r="F54" s="60">
        <f t="shared" si="0"/>
        <v>0</v>
      </c>
      <c r="G54" s="85">
        <f t="shared" si="3"/>
        <v>0</v>
      </c>
      <c r="H54" s="85">
        <f t="shared" si="4"/>
        <v>0</v>
      </c>
      <c r="I54" s="60">
        <f t="shared" si="15"/>
        <v>0</v>
      </c>
      <c r="J54" s="474"/>
      <c r="K54" s="60">
        <f t="shared" si="5"/>
        <v>0</v>
      </c>
      <c r="L54" s="276">
        <f t="shared" si="6"/>
        <v>0</v>
      </c>
      <c r="M54" s="383">
        <f t="shared" si="7"/>
        <v>0</v>
      </c>
      <c r="N54" s="59">
        <f t="shared" si="1"/>
        <v>0</v>
      </c>
      <c r="O54" s="59">
        <f t="shared" si="2"/>
        <v>0</v>
      </c>
      <c r="R54" s="552"/>
      <c r="S54" s="553"/>
      <c r="T54" s="558"/>
      <c r="U54" s="554">
        <f t="shared" si="8"/>
        <v>0</v>
      </c>
      <c r="V54" s="555">
        <f t="shared" si="9"/>
        <v>0</v>
      </c>
      <c r="W54" s="555">
        <f t="shared" si="10"/>
        <v>0</v>
      </c>
      <c r="X54" s="554">
        <f t="shared" si="11"/>
        <v>0</v>
      </c>
      <c r="Y54" s="555">
        <f t="shared" si="12"/>
        <v>0</v>
      </c>
      <c r="Z54" s="555">
        <f t="shared" si="13"/>
        <v>0</v>
      </c>
    </row>
    <row r="55" spans="2:26" ht="15">
      <c r="B55" s="277" t="s">
        <v>164</v>
      </c>
      <c r="C55" s="60">
        <f>INDEX(nrUrbLandUseSqFt,23)</f>
        <v>0</v>
      </c>
      <c r="D55" s="60">
        <f t="shared" si="14"/>
        <v>0</v>
      </c>
      <c r="E55" s="474"/>
      <c r="F55" s="60">
        <f t="shared" si="0"/>
        <v>0</v>
      </c>
      <c r="G55" s="85">
        <f t="shared" si="3"/>
        <v>0</v>
      </c>
      <c r="H55" s="85">
        <f t="shared" si="4"/>
        <v>0</v>
      </c>
      <c r="I55" s="60">
        <f t="shared" si="15"/>
        <v>0</v>
      </c>
      <c r="J55" s="474"/>
      <c r="K55" s="60">
        <f t="shared" si="5"/>
        <v>0</v>
      </c>
      <c r="L55" s="276">
        <f t="shared" si="6"/>
        <v>0</v>
      </c>
      <c r="M55" s="383">
        <f t="shared" si="7"/>
        <v>0</v>
      </c>
      <c r="N55" s="59">
        <f t="shared" si="1"/>
        <v>0</v>
      </c>
      <c r="O55" s="59">
        <f t="shared" si="2"/>
        <v>0</v>
      </c>
      <c r="R55" s="552"/>
      <c r="S55" s="553"/>
      <c r="T55" s="558"/>
      <c r="U55" s="554">
        <f t="shared" si="8"/>
        <v>0</v>
      </c>
      <c r="V55" s="555">
        <f t="shared" si="9"/>
        <v>0</v>
      </c>
      <c r="W55" s="555">
        <f t="shared" si="10"/>
        <v>0</v>
      </c>
      <c r="X55" s="554">
        <f t="shared" si="11"/>
        <v>0</v>
      </c>
      <c r="Y55" s="555">
        <f t="shared" si="12"/>
        <v>0</v>
      </c>
      <c r="Z55" s="555">
        <f t="shared" si="13"/>
        <v>0</v>
      </c>
    </row>
    <row r="56" spans="2:26" ht="15">
      <c r="B56" s="277" t="s">
        <v>163</v>
      </c>
      <c r="C56" s="60">
        <f>INDEX(nrUrbLandUseSqFt,24)</f>
        <v>0</v>
      </c>
      <c r="D56" s="60">
        <f t="shared" si="14"/>
        <v>0</v>
      </c>
      <c r="E56" s="474"/>
      <c r="F56" s="60">
        <f t="shared" si="0"/>
        <v>0</v>
      </c>
      <c r="G56" s="85">
        <f t="shared" si="3"/>
        <v>0</v>
      </c>
      <c r="H56" s="85">
        <f t="shared" si="4"/>
        <v>0</v>
      </c>
      <c r="I56" s="60">
        <f t="shared" si="15"/>
        <v>0</v>
      </c>
      <c r="J56" s="474"/>
      <c r="K56" s="60">
        <f t="shared" si="5"/>
        <v>0</v>
      </c>
      <c r="L56" s="276">
        <f t="shared" si="6"/>
        <v>0</v>
      </c>
      <c r="M56" s="383">
        <f t="shared" si="7"/>
        <v>0</v>
      </c>
      <c r="N56" s="59">
        <f t="shared" si="1"/>
        <v>0</v>
      </c>
      <c r="O56" s="59">
        <f t="shared" si="2"/>
        <v>0</v>
      </c>
      <c r="R56" s="552"/>
      <c r="S56" s="553"/>
      <c r="T56" s="558"/>
      <c r="U56" s="554">
        <f t="shared" si="8"/>
        <v>0</v>
      </c>
      <c r="V56" s="555">
        <f t="shared" si="9"/>
        <v>0</v>
      </c>
      <c r="W56" s="555">
        <f t="shared" si="10"/>
        <v>0</v>
      </c>
      <c r="X56" s="554">
        <f t="shared" si="11"/>
        <v>0</v>
      </c>
      <c r="Y56" s="555">
        <f t="shared" si="12"/>
        <v>0</v>
      </c>
      <c r="Z56" s="555">
        <f t="shared" si="13"/>
        <v>0</v>
      </c>
    </row>
    <row r="57" spans="2:26" ht="15">
      <c r="B57" s="277" t="s">
        <v>162</v>
      </c>
      <c r="C57" s="60">
        <f>INDEX(nrUrbLandUseSqFt,25)</f>
        <v>0</v>
      </c>
      <c r="D57" s="60">
        <f t="shared" si="14"/>
        <v>0</v>
      </c>
      <c r="E57" s="474"/>
      <c r="F57" s="60">
        <f t="shared" si="0"/>
        <v>0</v>
      </c>
      <c r="G57" s="85">
        <f t="shared" si="3"/>
        <v>0</v>
      </c>
      <c r="H57" s="85">
        <f t="shared" si="4"/>
        <v>0</v>
      </c>
      <c r="I57" s="60">
        <f t="shared" si="15"/>
        <v>0</v>
      </c>
      <c r="J57" s="474"/>
      <c r="K57" s="60">
        <f t="shared" si="5"/>
        <v>0</v>
      </c>
      <c r="L57" s="276">
        <f t="shared" si="6"/>
        <v>0</v>
      </c>
      <c r="M57" s="383">
        <f t="shared" si="7"/>
        <v>0</v>
      </c>
      <c r="N57" s="59">
        <f t="shared" si="1"/>
        <v>0</v>
      </c>
      <c r="O57" s="59">
        <f t="shared" si="2"/>
        <v>0</v>
      </c>
      <c r="R57" s="552"/>
      <c r="S57" s="553"/>
      <c r="T57" s="558"/>
      <c r="U57" s="554">
        <f t="shared" si="8"/>
        <v>0</v>
      </c>
      <c r="V57" s="555">
        <f t="shared" si="9"/>
        <v>0</v>
      </c>
      <c r="W57" s="555">
        <f t="shared" si="10"/>
        <v>0</v>
      </c>
      <c r="X57" s="554">
        <f t="shared" si="11"/>
        <v>0</v>
      </c>
      <c r="Y57" s="555">
        <f t="shared" si="12"/>
        <v>0</v>
      </c>
      <c r="Z57" s="555">
        <f t="shared" si="13"/>
        <v>0</v>
      </c>
    </row>
    <row r="58" spans="2:26" ht="15">
      <c r="B58" s="277" t="s">
        <v>161</v>
      </c>
      <c r="C58" s="60">
        <f>INDEX(nrUrbLandUseSqFt,26)</f>
        <v>0</v>
      </c>
      <c r="D58" s="60">
        <f>IF(nrClimateZone=4,$C58*$C$145,$C58*$E$145)</f>
        <v>0</v>
      </c>
      <c r="E58" s="474"/>
      <c r="F58" s="60">
        <f t="shared" si="0"/>
        <v>0</v>
      </c>
      <c r="G58" s="85">
        <f t="shared" si="3"/>
        <v>0</v>
      </c>
      <c r="H58" s="85">
        <f t="shared" si="4"/>
        <v>0</v>
      </c>
      <c r="I58" s="60">
        <f>IF(nrClimateZone=4,$C58*$D$145*1000,$C58*$F$145*1000)</f>
        <v>0</v>
      </c>
      <c r="J58" s="474"/>
      <c r="K58" s="60">
        <f t="shared" si="5"/>
        <v>0</v>
      </c>
      <c r="L58" s="276">
        <f t="shared" si="6"/>
        <v>0</v>
      </c>
      <c r="M58" s="383">
        <f t="shared" si="7"/>
        <v>0</v>
      </c>
      <c r="N58" s="59">
        <f t="shared" si="1"/>
        <v>0</v>
      </c>
      <c r="O58" s="59">
        <f t="shared" si="2"/>
        <v>0</v>
      </c>
      <c r="R58" s="552"/>
      <c r="S58" s="553"/>
      <c r="T58" s="558"/>
      <c r="U58" s="554">
        <f t="shared" si="8"/>
        <v>0</v>
      </c>
      <c r="V58" s="555">
        <f t="shared" si="9"/>
        <v>0</v>
      </c>
      <c r="W58" s="555">
        <f t="shared" si="10"/>
        <v>0</v>
      </c>
      <c r="X58" s="554">
        <f t="shared" si="11"/>
        <v>0</v>
      </c>
      <c r="Y58" s="555">
        <f t="shared" si="12"/>
        <v>0</v>
      </c>
      <c r="Z58" s="555">
        <f t="shared" si="13"/>
        <v>0</v>
      </c>
    </row>
    <row r="59" spans="2:26" ht="15">
      <c r="B59" s="277" t="s">
        <v>160</v>
      </c>
      <c r="C59" s="60">
        <f>INDEX(nrUrbLandUseSqFt,27)</f>
        <v>0</v>
      </c>
      <c r="D59" s="60">
        <f>IF(nrClimateZone=4,$C59*$C$145,$C59*$E$145)</f>
        <v>0</v>
      </c>
      <c r="E59" s="474"/>
      <c r="F59" s="60">
        <f t="shared" si="0"/>
        <v>0</v>
      </c>
      <c r="G59" s="85">
        <f t="shared" si="3"/>
        <v>0</v>
      </c>
      <c r="H59" s="85">
        <f t="shared" si="4"/>
        <v>0</v>
      </c>
      <c r="I59" s="60">
        <f>IF(nrClimateZone=4,$C59*$D$145*1000,$C59*$F$145*1000)</f>
        <v>0</v>
      </c>
      <c r="J59" s="474"/>
      <c r="K59" s="60">
        <f t="shared" si="5"/>
        <v>0</v>
      </c>
      <c r="L59" s="276">
        <f t="shared" si="6"/>
        <v>0</v>
      </c>
      <c r="M59" s="383">
        <f t="shared" si="7"/>
        <v>0</v>
      </c>
      <c r="N59" s="59">
        <f t="shared" si="1"/>
        <v>0</v>
      </c>
      <c r="O59" s="59">
        <f t="shared" si="2"/>
        <v>0</v>
      </c>
      <c r="R59" s="552"/>
      <c r="S59" s="553"/>
      <c r="T59" s="558"/>
      <c r="U59" s="554">
        <f t="shared" si="8"/>
        <v>0</v>
      </c>
      <c r="V59" s="555">
        <f t="shared" si="9"/>
        <v>0</v>
      </c>
      <c r="W59" s="555">
        <f t="shared" si="10"/>
        <v>0</v>
      </c>
      <c r="X59" s="554">
        <f t="shared" si="11"/>
        <v>0</v>
      </c>
      <c r="Y59" s="555">
        <f t="shared" si="12"/>
        <v>0</v>
      </c>
      <c r="Z59" s="555">
        <f t="shared" si="13"/>
        <v>0</v>
      </c>
    </row>
    <row r="60" spans="2:26" ht="15">
      <c r="B60" s="277" t="s">
        <v>159</v>
      </c>
      <c r="C60" s="60">
        <f>INDEX(nrUrbLandUseSqFt,28)</f>
        <v>0</v>
      </c>
      <c r="D60" s="60">
        <f>IF(nrClimateZone=4,$C60*$C$145,$C60*$E$145)</f>
        <v>0</v>
      </c>
      <c r="E60" s="474"/>
      <c r="F60" s="60">
        <f t="shared" si="0"/>
        <v>0</v>
      </c>
      <c r="G60" s="85">
        <f t="shared" si="3"/>
        <v>0</v>
      </c>
      <c r="H60" s="85">
        <f t="shared" si="4"/>
        <v>0</v>
      </c>
      <c r="I60" s="60">
        <f>IF(nrClimateZone=4,$C60*$D$145*1000,$C60*$F$145*1000)</f>
        <v>0</v>
      </c>
      <c r="J60" s="474"/>
      <c r="K60" s="60">
        <f t="shared" si="5"/>
        <v>0</v>
      </c>
      <c r="L60" s="276">
        <f t="shared" si="6"/>
        <v>0</v>
      </c>
      <c r="M60" s="383">
        <f t="shared" si="7"/>
        <v>0</v>
      </c>
      <c r="N60" s="59">
        <f t="shared" si="1"/>
        <v>0</v>
      </c>
      <c r="O60" s="59">
        <f t="shared" si="2"/>
        <v>0</v>
      </c>
      <c r="R60" s="552"/>
      <c r="S60" s="553"/>
      <c r="T60" s="558"/>
      <c r="U60" s="554">
        <f t="shared" si="8"/>
        <v>0</v>
      </c>
      <c r="V60" s="555">
        <f t="shared" si="9"/>
        <v>0</v>
      </c>
      <c r="W60" s="555">
        <f t="shared" si="10"/>
        <v>0</v>
      </c>
      <c r="X60" s="554">
        <f t="shared" si="11"/>
        <v>0</v>
      </c>
      <c r="Y60" s="555">
        <f t="shared" si="12"/>
        <v>0</v>
      </c>
      <c r="Z60" s="555">
        <f t="shared" si="13"/>
        <v>0</v>
      </c>
    </row>
    <row r="61" spans="2:26" ht="15">
      <c r="B61" s="277" t="s">
        <v>158</v>
      </c>
      <c r="C61" s="60">
        <f>INDEX(nrUrbLandUseSqFt,29)</f>
        <v>0</v>
      </c>
      <c r="D61" s="60">
        <f>IF(nrClimateZone=4,$C61*$C$144,$C61*$E$144)</f>
        <v>0</v>
      </c>
      <c r="E61" s="474"/>
      <c r="F61" s="60">
        <f t="shared" si="0"/>
        <v>0</v>
      </c>
      <c r="G61" s="85">
        <f t="shared" si="3"/>
        <v>0</v>
      </c>
      <c r="H61" s="85">
        <f t="shared" si="4"/>
        <v>0</v>
      </c>
      <c r="I61" s="60">
        <f>IF(nrClimateZone=4,$C61*$D$144*1000,$C61*$F$144*1000)</f>
        <v>0</v>
      </c>
      <c r="J61" s="474"/>
      <c r="K61" s="60">
        <f t="shared" si="5"/>
        <v>0</v>
      </c>
      <c r="L61" s="276">
        <f t="shared" si="6"/>
        <v>0</v>
      </c>
      <c r="M61" s="383">
        <f t="shared" si="7"/>
        <v>0</v>
      </c>
      <c r="N61" s="59">
        <f t="shared" si="1"/>
        <v>0</v>
      </c>
      <c r="O61" s="59">
        <f t="shared" si="2"/>
        <v>0</v>
      </c>
      <c r="R61" s="552"/>
      <c r="S61" s="553"/>
      <c r="T61" s="558"/>
      <c r="U61" s="554">
        <f t="shared" si="8"/>
        <v>0</v>
      </c>
      <c r="V61" s="555">
        <f t="shared" si="9"/>
        <v>0</v>
      </c>
      <c r="W61" s="555">
        <f t="shared" si="10"/>
        <v>0</v>
      </c>
      <c r="X61" s="554">
        <f t="shared" si="11"/>
        <v>0</v>
      </c>
      <c r="Y61" s="555">
        <f t="shared" si="12"/>
        <v>0</v>
      </c>
      <c r="Z61" s="555">
        <f t="shared" si="13"/>
        <v>0</v>
      </c>
    </row>
    <row r="62" spans="2:26" ht="15">
      <c r="B62" s="277" t="s">
        <v>157</v>
      </c>
      <c r="C62" s="60">
        <f>INDEX(nrUrbLandUseSqFt,30)</f>
        <v>0</v>
      </c>
      <c r="D62" s="60">
        <f>IF(nrClimateZone=4,$C62*$C$141,$C62*$E$141)</f>
        <v>0</v>
      </c>
      <c r="E62" s="474"/>
      <c r="F62" s="60">
        <f t="shared" si="0"/>
        <v>0</v>
      </c>
      <c r="G62" s="85">
        <f t="shared" si="3"/>
        <v>0</v>
      </c>
      <c r="H62" s="85">
        <f t="shared" si="4"/>
        <v>0</v>
      </c>
      <c r="I62" s="60">
        <f>IF(nrClimateZone=4,$C62*$D$141*1000,$C62*$F$141*1000)</f>
        <v>0</v>
      </c>
      <c r="J62" s="474"/>
      <c r="K62" s="60">
        <f t="shared" si="5"/>
        <v>0</v>
      </c>
      <c r="L62" s="276">
        <f t="shared" si="6"/>
        <v>0</v>
      </c>
      <c r="M62" s="383">
        <f t="shared" si="7"/>
        <v>0</v>
      </c>
      <c r="N62" s="59">
        <f t="shared" si="1"/>
        <v>0</v>
      </c>
      <c r="O62" s="59">
        <f t="shared" si="2"/>
        <v>0</v>
      </c>
      <c r="R62" s="552"/>
      <c r="S62" s="553"/>
      <c r="T62" s="558"/>
      <c r="U62" s="554">
        <f t="shared" si="8"/>
        <v>0</v>
      </c>
      <c r="V62" s="555">
        <f t="shared" si="9"/>
        <v>0</v>
      </c>
      <c r="W62" s="555">
        <f t="shared" si="10"/>
        <v>0</v>
      </c>
      <c r="X62" s="554">
        <f t="shared" si="11"/>
        <v>0</v>
      </c>
      <c r="Y62" s="555">
        <f t="shared" si="12"/>
        <v>0</v>
      </c>
      <c r="Z62" s="555">
        <f t="shared" si="13"/>
        <v>0</v>
      </c>
    </row>
    <row r="63" spans="2:26" ht="15">
      <c r="B63" s="277" t="s">
        <v>156</v>
      </c>
      <c r="C63" s="60">
        <f>INDEX(nrUrbLandUseSqFt,31)</f>
        <v>0</v>
      </c>
      <c r="D63" s="60">
        <f>IF(nrClimateZone=4,$C63*$C$142,$C63*$E$142)</f>
        <v>0</v>
      </c>
      <c r="E63" s="474"/>
      <c r="F63" s="60">
        <f t="shared" si="0"/>
        <v>0</v>
      </c>
      <c r="G63" s="85">
        <f t="shared" si="3"/>
        <v>0</v>
      </c>
      <c r="H63" s="85">
        <f t="shared" si="4"/>
        <v>0</v>
      </c>
      <c r="I63" s="60">
        <f>IF(nrClimateZone=4,$C63*$D$142*1000,$C63*$F$142*1000)</f>
        <v>0</v>
      </c>
      <c r="J63" s="474"/>
      <c r="K63" s="60">
        <f t="shared" si="5"/>
        <v>0</v>
      </c>
      <c r="L63" s="276">
        <f t="shared" si="6"/>
        <v>0</v>
      </c>
      <c r="M63" s="383">
        <f t="shared" si="7"/>
        <v>0</v>
      </c>
      <c r="N63" s="59">
        <f t="shared" si="1"/>
        <v>0</v>
      </c>
      <c r="O63" s="59">
        <f t="shared" si="2"/>
        <v>0</v>
      </c>
      <c r="R63" s="552"/>
      <c r="S63" s="553"/>
      <c r="T63" s="558"/>
      <c r="U63" s="554">
        <f t="shared" si="8"/>
        <v>0</v>
      </c>
      <c r="V63" s="555">
        <f t="shared" si="9"/>
        <v>0</v>
      </c>
      <c r="W63" s="555">
        <f t="shared" si="10"/>
        <v>0</v>
      </c>
      <c r="X63" s="554">
        <f t="shared" si="11"/>
        <v>0</v>
      </c>
      <c r="Y63" s="555">
        <f t="shared" si="12"/>
        <v>0</v>
      </c>
      <c r="Z63" s="555">
        <f t="shared" si="13"/>
        <v>0</v>
      </c>
    </row>
    <row r="64" spans="2:26" ht="15">
      <c r="B64" s="277" t="s">
        <v>155</v>
      </c>
      <c r="C64" s="60">
        <f>INDEX(nrUrbLandUseSqFt,32)</f>
        <v>0</v>
      </c>
      <c r="D64" s="60">
        <f>IF(nrClimateZone=4,$C64*$C$142,$C64*$E$142)</f>
        <v>0</v>
      </c>
      <c r="E64" s="474"/>
      <c r="F64" s="60">
        <f t="shared" si="0"/>
        <v>0</v>
      </c>
      <c r="G64" s="85">
        <f t="shared" si="3"/>
        <v>0</v>
      </c>
      <c r="H64" s="85">
        <f t="shared" si="4"/>
        <v>0</v>
      </c>
      <c r="I64" s="60">
        <f>IF(nrClimateZone=4,$C64*$D$142*1000,$C64*$F$142*1000)</f>
        <v>0</v>
      </c>
      <c r="J64" s="474"/>
      <c r="K64" s="60">
        <f t="shared" si="5"/>
        <v>0</v>
      </c>
      <c r="L64" s="276">
        <f t="shared" si="6"/>
        <v>0</v>
      </c>
      <c r="M64" s="383">
        <f t="shared" si="7"/>
        <v>0</v>
      </c>
      <c r="N64" s="59">
        <f t="shared" si="1"/>
        <v>0</v>
      </c>
      <c r="O64" s="59">
        <f t="shared" si="2"/>
        <v>0</v>
      </c>
      <c r="R64" s="552"/>
      <c r="S64" s="553"/>
      <c r="T64" s="558"/>
      <c r="U64" s="554">
        <f t="shared" si="8"/>
        <v>0</v>
      </c>
      <c r="V64" s="555">
        <f t="shared" si="9"/>
        <v>0</v>
      </c>
      <c r="W64" s="555">
        <f t="shared" si="10"/>
        <v>0</v>
      </c>
      <c r="X64" s="554">
        <f t="shared" si="11"/>
        <v>0</v>
      </c>
      <c r="Y64" s="555">
        <f t="shared" si="12"/>
        <v>0</v>
      </c>
      <c r="Z64" s="555">
        <f t="shared" si="13"/>
        <v>0</v>
      </c>
    </row>
    <row r="65" spans="2:26" ht="15">
      <c r="B65" s="277" t="s">
        <v>154</v>
      </c>
      <c r="C65" s="60">
        <f>INDEX(nrUrbLandUseSqFt,33)</f>
        <v>0</v>
      </c>
      <c r="D65" s="60">
        <f>IF(nrClimateZone=4,$C65*$C$142,$C65*$E$142)</f>
        <v>0</v>
      </c>
      <c r="E65" s="474"/>
      <c r="F65" s="60">
        <f t="shared" si="0"/>
        <v>0</v>
      </c>
      <c r="G65" s="85">
        <f t="shared" si="3"/>
        <v>0</v>
      </c>
      <c r="H65" s="85">
        <f t="shared" si="4"/>
        <v>0</v>
      </c>
      <c r="I65" s="60">
        <f>IF(nrClimateZone=4,$C65*$D$142*1000,$C65*$F$142*1000)</f>
        <v>0</v>
      </c>
      <c r="J65" s="474"/>
      <c r="K65" s="60">
        <f t="shared" si="5"/>
        <v>0</v>
      </c>
      <c r="L65" s="276">
        <f t="shared" si="6"/>
        <v>0</v>
      </c>
      <c r="M65" s="383">
        <f t="shared" si="7"/>
        <v>0</v>
      </c>
      <c r="N65" s="59">
        <f t="shared" si="1"/>
        <v>0</v>
      </c>
      <c r="O65" s="59">
        <f t="shared" si="2"/>
        <v>0</v>
      </c>
      <c r="R65" s="552"/>
      <c r="S65" s="553"/>
      <c r="T65" s="558"/>
      <c r="U65" s="554">
        <f t="shared" si="8"/>
        <v>0</v>
      </c>
      <c r="V65" s="555">
        <f t="shared" si="9"/>
        <v>0</v>
      </c>
      <c r="W65" s="555">
        <f t="shared" si="10"/>
        <v>0</v>
      </c>
      <c r="X65" s="554">
        <f t="shared" si="11"/>
        <v>0</v>
      </c>
      <c r="Y65" s="555">
        <f t="shared" si="12"/>
        <v>0</v>
      </c>
      <c r="Z65" s="555">
        <f t="shared" si="13"/>
        <v>0</v>
      </c>
    </row>
    <row r="66" spans="2:26" ht="15">
      <c r="B66" s="277" t="s">
        <v>153</v>
      </c>
      <c r="C66" s="60">
        <f>INDEX(nrUrbLandUseSqFt,34)</f>
        <v>0</v>
      </c>
      <c r="D66" s="60">
        <f>IF(nrClimateZone=4,$C66*$C$142,$C66*$E$142)</f>
        <v>0</v>
      </c>
      <c r="E66" s="474"/>
      <c r="F66" s="60">
        <f t="shared" si="0"/>
        <v>0</v>
      </c>
      <c r="G66" s="85">
        <f t="shared" si="3"/>
        <v>0</v>
      </c>
      <c r="H66" s="85">
        <f t="shared" si="4"/>
        <v>0</v>
      </c>
      <c r="I66" s="60">
        <f>IF(nrClimateZone=4,$C66*$D$142*1000,$C66*$F$142*1000)</f>
        <v>0</v>
      </c>
      <c r="J66" s="474"/>
      <c r="K66" s="60">
        <f t="shared" si="5"/>
        <v>0</v>
      </c>
      <c r="L66" s="276">
        <f t="shared" si="6"/>
        <v>0</v>
      </c>
      <c r="M66" s="383">
        <f t="shared" si="7"/>
        <v>0</v>
      </c>
      <c r="N66" s="59">
        <f t="shared" si="1"/>
        <v>0</v>
      </c>
      <c r="O66" s="59">
        <f t="shared" si="2"/>
        <v>0</v>
      </c>
      <c r="R66" s="552"/>
      <c r="S66" s="553"/>
      <c r="T66" s="558"/>
      <c r="U66" s="554">
        <f t="shared" si="8"/>
        <v>0</v>
      </c>
      <c r="V66" s="555">
        <f t="shared" si="9"/>
        <v>0</v>
      </c>
      <c r="W66" s="555">
        <f t="shared" si="10"/>
        <v>0</v>
      </c>
      <c r="X66" s="554">
        <f t="shared" si="11"/>
        <v>0</v>
      </c>
      <c r="Y66" s="555">
        <f t="shared" si="12"/>
        <v>0</v>
      </c>
      <c r="Z66" s="555">
        <f t="shared" si="13"/>
        <v>0</v>
      </c>
    </row>
    <row r="67" spans="2:26" ht="15">
      <c r="B67" s="277" t="s">
        <v>152</v>
      </c>
      <c r="C67" s="60">
        <f>INDEX(nrUrbLandUseSqFt,35)</f>
        <v>0</v>
      </c>
      <c r="D67" s="60">
        <f>IF(nrClimateZone=4,$C67*$C$144,$C67*$E$144)</f>
        <v>0</v>
      </c>
      <c r="E67" s="474"/>
      <c r="F67" s="60">
        <f t="shared" si="0"/>
        <v>0</v>
      </c>
      <c r="G67" s="85">
        <f t="shared" si="3"/>
        <v>0</v>
      </c>
      <c r="H67" s="85">
        <f t="shared" si="4"/>
        <v>0</v>
      </c>
      <c r="I67" s="60">
        <f>IF(nrClimateZone=4,$C67*$D$144*1000,$C67*$F$144*1000)</f>
        <v>0</v>
      </c>
      <c r="J67" s="474"/>
      <c r="K67" s="60">
        <f t="shared" si="5"/>
        <v>0</v>
      </c>
      <c r="L67" s="276">
        <f t="shared" si="6"/>
        <v>0</v>
      </c>
      <c r="M67" s="383">
        <f t="shared" si="7"/>
        <v>0</v>
      </c>
      <c r="N67" s="59">
        <f t="shared" si="1"/>
        <v>0</v>
      </c>
      <c r="O67" s="59">
        <f t="shared" si="2"/>
        <v>0</v>
      </c>
      <c r="R67" s="552"/>
      <c r="S67" s="553"/>
      <c r="T67" s="558"/>
      <c r="U67" s="554">
        <f t="shared" si="8"/>
        <v>0</v>
      </c>
      <c r="V67" s="555">
        <f t="shared" si="9"/>
        <v>0</v>
      </c>
      <c r="W67" s="555">
        <f t="shared" si="10"/>
        <v>0</v>
      </c>
      <c r="X67" s="554">
        <f t="shared" si="11"/>
        <v>0</v>
      </c>
      <c r="Y67" s="555">
        <f t="shared" si="12"/>
        <v>0</v>
      </c>
      <c r="Z67" s="555">
        <f t="shared" si="13"/>
        <v>0</v>
      </c>
    </row>
    <row r="68" spans="2:26" ht="15">
      <c r="B68" s="277" t="s">
        <v>151</v>
      </c>
      <c r="C68" s="60">
        <f>INDEX(nrUrbLandUseSqFt,36)</f>
        <v>0</v>
      </c>
      <c r="D68" s="60">
        <f>IF(nrClimateZone=4,$C68*$C$144,$C68*$E$144)</f>
        <v>0</v>
      </c>
      <c r="E68" s="474"/>
      <c r="F68" s="60">
        <f t="shared" si="0"/>
        <v>0</v>
      </c>
      <c r="G68" s="85">
        <f t="shared" si="3"/>
        <v>0</v>
      </c>
      <c r="H68" s="85">
        <f t="shared" si="4"/>
        <v>0</v>
      </c>
      <c r="I68" s="60">
        <f>IF(nrClimateZone=4,$C68*$D$144*1000,$C68*$F$144*1000)</f>
        <v>0</v>
      </c>
      <c r="J68" s="474"/>
      <c r="K68" s="60">
        <f t="shared" si="5"/>
        <v>0</v>
      </c>
      <c r="L68" s="276">
        <f t="shared" si="6"/>
        <v>0</v>
      </c>
      <c r="M68" s="383">
        <f t="shared" si="7"/>
        <v>0</v>
      </c>
      <c r="N68" s="59">
        <f t="shared" si="1"/>
        <v>0</v>
      </c>
      <c r="O68" s="59">
        <f t="shared" si="2"/>
        <v>0</v>
      </c>
      <c r="R68" s="552"/>
      <c r="S68" s="553"/>
      <c r="T68" s="558"/>
      <c r="U68" s="554">
        <f t="shared" si="8"/>
        <v>0</v>
      </c>
      <c r="V68" s="555">
        <f t="shared" si="9"/>
        <v>0</v>
      </c>
      <c r="W68" s="555">
        <f t="shared" si="10"/>
        <v>0</v>
      </c>
      <c r="X68" s="554">
        <f t="shared" si="11"/>
        <v>0</v>
      </c>
      <c r="Y68" s="555">
        <f t="shared" si="12"/>
        <v>0</v>
      </c>
      <c r="Z68" s="555">
        <f t="shared" si="13"/>
        <v>0</v>
      </c>
    </row>
    <row r="69" spans="2:26" ht="15">
      <c r="B69" s="277" t="s">
        <v>150</v>
      </c>
      <c r="C69" s="60">
        <f>INDEX(nrUrbLandUseSqFt,37)</f>
        <v>0</v>
      </c>
      <c r="D69" s="60">
        <f>IF(nrClimateZone=4,$C69*$C$150,$C69*$E$150)</f>
        <v>0</v>
      </c>
      <c r="E69" s="474"/>
      <c r="F69" s="60">
        <f t="shared" si="0"/>
        <v>0</v>
      </c>
      <c r="G69" s="85">
        <f t="shared" si="3"/>
        <v>0</v>
      </c>
      <c r="H69" s="85">
        <f t="shared" si="4"/>
        <v>0</v>
      </c>
      <c r="I69" s="60">
        <f>IF(nrClimateZone=4,$C69*$D$150*1000,$C69*$F$150*1000)</f>
        <v>0</v>
      </c>
      <c r="J69" s="474"/>
      <c r="K69" s="60">
        <f t="shared" si="5"/>
        <v>0</v>
      </c>
      <c r="L69" s="276">
        <f t="shared" si="6"/>
        <v>0</v>
      </c>
      <c r="M69" s="383">
        <f t="shared" si="7"/>
        <v>0</v>
      </c>
      <c r="N69" s="59">
        <f t="shared" si="1"/>
        <v>0</v>
      </c>
      <c r="O69" s="59">
        <f t="shared" si="2"/>
        <v>0</v>
      </c>
      <c r="R69" s="552"/>
      <c r="S69" s="553"/>
      <c r="T69" s="558"/>
      <c r="U69" s="554">
        <f t="shared" si="8"/>
        <v>0</v>
      </c>
      <c r="V69" s="555">
        <f t="shared" si="9"/>
        <v>0</v>
      </c>
      <c r="W69" s="555">
        <f t="shared" si="10"/>
        <v>0</v>
      </c>
      <c r="X69" s="554">
        <f t="shared" si="11"/>
        <v>0</v>
      </c>
      <c r="Y69" s="555">
        <f t="shared" si="12"/>
        <v>0</v>
      </c>
      <c r="Z69" s="555">
        <f t="shared" si="13"/>
        <v>0</v>
      </c>
    </row>
    <row r="70" spans="2:26" ht="15">
      <c r="B70" s="277" t="s">
        <v>149</v>
      </c>
      <c r="C70" s="60">
        <f>INDEX(nrUrbLandUseSqFt,38)</f>
        <v>0</v>
      </c>
      <c r="D70" s="60">
        <f>IF(nrClimateZone=4,$C70*$C$150,$C70*$E$150)</f>
        <v>0</v>
      </c>
      <c r="E70" s="474"/>
      <c r="F70" s="60">
        <f t="shared" si="0"/>
        <v>0</v>
      </c>
      <c r="G70" s="85">
        <f t="shared" si="3"/>
        <v>0</v>
      </c>
      <c r="H70" s="85">
        <f t="shared" si="4"/>
        <v>0</v>
      </c>
      <c r="I70" s="60">
        <f>IF(nrClimateZone=4,$C70*$D$150*1000,$C70*$F$150*1000)</f>
        <v>0</v>
      </c>
      <c r="J70" s="474"/>
      <c r="K70" s="60">
        <f t="shared" si="5"/>
        <v>0</v>
      </c>
      <c r="L70" s="276">
        <f t="shared" si="6"/>
        <v>0</v>
      </c>
      <c r="M70" s="383">
        <f t="shared" si="7"/>
        <v>0</v>
      </c>
      <c r="N70" s="59">
        <f t="shared" si="1"/>
        <v>0</v>
      </c>
      <c r="O70" s="59">
        <f t="shared" si="2"/>
        <v>0</v>
      </c>
      <c r="R70" s="552"/>
      <c r="S70" s="553"/>
      <c r="T70" s="558"/>
      <c r="U70" s="554">
        <f t="shared" si="8"/>
        <v>0</v>
      </c>
      <c r="V70" s="555">
        <f t="shared" si="9"/>
        <v>0</v>
      </c>
      <c r="W70" s="555">
        <f t="shared" si="10"/>
        <v>0</v>
      </c>
      <c r="X70" s="554">
        <f t="shared" si="11"/>
        <v>0</v>
      </c>
      <c r="Y70" s="555">
        <f t="shared" si="12"/>
        <v>0</v>
      </c>
      <c r="Z70" s="555">
        <f t="shared" si="13"/>
        <v>0</v>
      </c>
    </row>
    <row r="71" spans="2:26" ht="15">
      <c r="B71" s="277" t="s">
        <v>148</v>
      </c>
      <c r="C71" s="60">
        <f>INDEX(nrUrbLandUseSqFt,39)</f>
        <v>0</v>
      </c>
      <c r="D71" s="60">
        <f>IF(nrClimateZone=4,$C71*$C$154,$C71*$E$154)</f>
        <v>0</v>
      </c>
      <c r="E71" s="474"/>
      <c r="F71" s="60">
        <f t="shared" si="0"/>
        <v>0</v>
      </c>
      <c r="G71" s="85">
        <f t="shared" si="3"/>
        <v>0</v>
      </c>
      <c r="H71" s="85">
        <f t="shared" si="4"/>
        <v>0</v>
      </c>
      <c r="I71" s="60">
        <f>IF(nrClimateZone=4,$C71*$D$154*1000,$C71*$F$154*1000)</f>
        <v>0</v>
      </c>
      <c r="J71" s="474"/>
      <c r="K71" s="60">
        <f t="shared" si="5"/>
        <v>0</v>
      </c>
      <c r="L71" s="276">
        <f t="shared" si="6"/>
        <v>0</v>
      </c>
      <c r="M71" s="383">
        <f t="shared" si="7"/>
        <v>0</v>
      </c>
      <c r="N71" s="59">
        <f t="shared" si="1"/>
        <v>0</v>
      </c>
      <c r="O71" s="59">
        <f t="shared" si="2"/>
        <v>0</v>
      </c>
      <c r="R71" s="552"/>
      <c r="S71" s="553"/>
      <c r="T71" s="558"/>
      <c r="U71" s="554">
        <f t="shared" si="8"/>
        <v>0</v>
      </c>
      <c r="V71" s="555">
        <f t="shared" si="9"/>
        <v>0</v>
      </c>
      <c r="W71" s="555">
        <f t="shared" si="10"/>
        <v>0</v>
      </c>
      <c r="X71" s="554">
        <f t="shared" si="11"/>
        <v>0</v>
      </c>
      <c r="Y71" s="555">
        <f t="shared" si="12"/>
        <v>0</v>
      </c>
      <c r="Z71" s="555">
        <f t="shared" si="13"/>
        <v>0</v>
      </c>
    </row>
    <row r="72" spans="2:26" ht="15">
      <c r="B72" s="277" t="s">
        <v>147</v>
      </c>
      <c r="C72" s="60">
        <f>INDEX(nrUrbLandUseSqFt,40)</f>
        <v>0</v>
      </c>
      <c r="D72" s="60">
        <f>IF(nrClimateZone=4,$C72*$C$154,$C72*$E$154)</f>
        <v>0</v>
      </c>
      <c r="E72" s="474"/>
      <c r="F72" s="60">
        <f t="shared" si="0"/>
        <v>0</v>
      </c>
      <c r="G72" s="85">
        <f t="shared" si="3"/>
        <v>0</v>
      </c>
      <c r="H72" s="85">
        <f t="shared" si="4"/>
        <v>0</v>
      </c>
      <c r="I72" s="60">
        <f>IF(nrClimateZone=4,$C72*$D$154*1000,$C72*$F$154*1000)</f>
        <v>0</v>
      </c>
      <c r="J72" s="474"/>
      <c r="K72" s="60">
        <f t="shared" si="5"/>
        <v>0</v>
      </c>
      <c r="L72" s="276">
        <f t="shared" si="6"/>
        <v>0</v>
      </c>
      <c r="M72" s="383">
        <f t="shared" si="7"/>
        <v>0</v>
      </c>
      <c r="N72" s="59">
        <f t="shared" si="1"/>
        <v>0</v>
      </c>
      <c r="O72" s="59">
        <f t="shared" si="2"/>
        <v>0</v>
      </c>
      <c r="R72" s="552"/>
      <c r="S72" s="553"/>
      <c r="T72" s="558"/>
      <c r="U72" s="554">
        <f t="shared" si="8"/>
        <v>0</v>
      </c>
      <c r="V72" s="555">
        <f t="shared" si="9"/>
        <v>0</v>
      </c>
      <c r="W72" s="555">
        <f t="shared" si="10"/>
        <v>0</v>
      </c>
      <c r="X72" s="554">
        <f t="shared" si="11"/>
        <v>0</v>
      </c>
      <c r="Y72" s="555">
        <f t="shared" si="12"/>
        <v>0</v>
      </c>
      <c r="Z72" s="555">
        <f t="shared" si="13"/>
        <v>0</v>
      </c>
    </row>
    <row r="73" spans="2:26" ht="15">
      <c r="B73" s="277" t="s">
        <v>146</v>
      </c>
      <c r="C73" s="60">
        <f>INDEX(nrUrbLandUseSqFt,41)</f>
        <v>0</v>
      </c>
      <c r="D73" s="60">
        <f>IF(nrClimateZone=4,$C73*$C$154,$C73*$E$154)</f>
        <v>0</v>
      </c>
      <c r="E73" s="474"/>
      <c r="F73" s="60">
        <f t="shared" si="0"/>
        <v>0</v>
      </c>
      <c r="G73" s="85">
        <f t="shared" si="3"/>
        <v>0</v>
      </c>
      <c r="H73" s="85">
        <f t="shared" si="4"/>
        <v>0</v>
      </c>
      <c r="I73" s="60">
        <f>IF(nrClimateZone=4,$C73*$D$154*1000,$C73*$F$154*1000)</f>
        <v>0</v>
      </c>
      <c r="J73" s="474"/>
      <c r="K73" s="60">
        <f t="shared" si="5"/>
        <v>0</v>
      </c>
      <c r="L73" s="276">
        <f t="shared" si="6"/>
        <v>0</v>
      </c>
      <c r="M73" s="383">
        <f t="shared" si="7"/>
        <v>0</v>
      </c>
      <c r="N73" s="59">
        <f t="shared" si="1"/>
        <v>0</v>
      </c>
      <c r="O73" s="59">
        <f t="shared" si="2"/>
        <v>0</v>
      </c>
      <c r="R73" s="552"/>
      <c r="S73" s="553"/>
      <c r="T73" s="558"/>
      <c r="U73" s="554">
        <f t="shared" si="8"/>
        <v>0</v>
      </c>
      <c r="V73" s="555">
        <f t="shared" si="9"/>
        <v>0</v>
      </c>
      <c r="W73" s="555">
        <f t="shared" si="10"/>
        <v>0</v>
      </c>
      <c r="X73" s="554">
        <f t="shared" si="11"/>
        <v>0</v>
      </c>
      <c r="Y73" s="555">
        <f t="shared" si="12"/>
        <v>0</v>
      </c>
      <c r="Z73" s="555">
        <f t="shared" si="13"/>
        <v>0</v>
      </c>
    </row>
    <row r="74" spans="2:26" ht="15">
      <c r="B74" s="277" t="s">
        <v>145</v>
      </c>
      <c r="C74" s="60">
        <f>INDEX(nrUrbLandUseSqFt,42)</f>
        <v>0</v>
      </c>
      <c r="D74" s="60">
        <f>IF(nrClimateZone=4,$C74*$C$154,$C74*$E$154)</f>
        <v>0</v>
      </c>
      <c r="E74" s="474"/>
      <c r="F74" s="60">
        <f t="shared" si="0"/>
        <v>0</v>
      </c>
      <c r="G74" s="85">
        <f t="shared" si="3"/>
        <v>0</v>
      </c>
      <c r="H74" s="85">
        <f t="shared" si="4"/>
        <v>0</v>
      </c>
      <c r="I74" s="60">
        <f>IF(nrClimateZone=4,$C74*$D$154*1000,$C74*$F$154*1000)</f>
        <v>0</v>
      </c>
      <c r="J74" s="474"/>
      <c r="K74" s="60">
        <f t="shared" si="5"/>
        <v>0</v>
      </c>
      <c r="L74" s="276">
        <f t="shared" si="6"/>
        <v>0</v>
      </c>
      <c r="M74" s="383">
        <f t="shared" si="7"/>
        <v>0</v>
      </c>
      <c r="N74" s="59">
        <f t="shared" si="1"/>
        <v>0</v>
      </c>
      <c r="O74" s="59">
        <f t="shared" si="2"/>
        <v>0</v>
      </c>
      <c r="R74" s="552"/>
      <c r="S74" s="553"/>
      <c r="T74" s="558"/>
      <c r="U74" s="554">
        <f t="shared" si="8"/>
        <v>0</v>
      </c>
      <c r="V74" s="555">
        <f t="shared" si="9"/>
        <v>0</v>
      </c>
      <c r="W74" s="555">
        <f t="shared" si="10"/>
        <v>0</v>
      </c>
      <c r="X74" s="554">
        <f t="shared" si="11"/>
        <v>0</v>
      </c>
      <c r="Y74" s="555">
        <f t="shared" si="12"/>
        <v>0</v>
      </c>
      <c r="Z74" s="555">
        <f t="shared" si="13"/>
        <v>0</v>
      </c>
    </row>
    <row r="75" spans="2:26" ht="15">
      <c r="B75" s="277" t="s">
        <v>144</v>
      </c>
      <c r="C75" s="60">
        <f>INDEX(nrUrbLandUseSqFt,43)</f>
        <v>0</v>
      </c>
      <c r="D75" s="60">
        <f>IF(nrClimateZone=4,$C75*$C$154,$C75*$E$154)</f>
        <v>0</v>
      </c>
      <c r="E75" s="474"/>
      <c r="F75" s="60">
        <f t="shared" si="0"/>
        <v>0</v>
      </c>
      <c r="G75" s="85">
        <f t="shared" si="3"/>
        <v>0</v>
      </c>
      <c r="H75" s="85">
        <f t="shared" si="4"/>
        <v>0</v>
      </c>
      <c r="I75" s="60">
        <f>IF(nrClimateZone=4,$C75*$D$154*1000,$C75*$F$154*1000)</f>
        <v>0</v>
      </c>
      <c r="J75" s="474"/>
      <c r="K75" s="60">
        <f t="shared" si="5"/>
        <v>0</v>
      </c>
      <c r="L75" s="276">
        <f t="shared" si="6"/>
        <v>0</v>
      </c>
      <c r="M75" s="383">
        <f t="shared" si="7"/>
        <v>0</v>
      </c>
      <c r="N75" s="59">
        <f t="shared" si="1"/>
        <v>0</v>
      </c>
      <c r="O75" s="59">
        <f t="shared" si="2"/>
        <v>0</v>
      </c>
      <c r="R75" s="552"/>
      <c r="S75" s="553"/>
      <c r="T75" s="558"/>
      <c r="U75" s="554">
        <f t="shared" si="8"/>
        <v>0</v>
      </c>
      <c r="V75" s="555">
        <f t="shared" si="9"/>
        <v>0</v>
      </c>
      <c r="W75" s="555">
        <f t="shared" si="10"/>
        <v>0</v>
      </c>
      <c r="X75" s="554">
        <f t="shared" si="11"/>
        <v>0</v>
      </c>
      <c r="Y75" s="555">
        <f t="shared" si="12"/>
        <v>0</v>
      </c>
      <c r="Z75" s="555">
        <f t="shared" si="13"/>
        <v>0</v>
      </c>
    </row>
    <row r="76" spans="2:20" ht="15">
      <c r="B76" s="40"/>
      <c r="C76" s="70"/>
      <c r="D76" s="70"/>
      <c r="E76" s="78"/>
      <c r="F76" s="70"/>
      <c r="G76" s="76"/>
      <c r="H76" s="76"/>
      <c r="I76" s="70"/>
      <c r="J76" s="78"/>
      <c r="K76" s="70"/>
      <c r="L76" s="77"/>
      <c r="M76" s="77"/>
      <c r="N76" s="59">
        <f>SUM(N33:N75,P28:P29,S34:S75)</f>
        <v>378.80671082586053</v>
      </c>
      <c r="O76" s="59">
        <f>SUM(O33:O75,Q28:Q29,T34:T75)</f>
        <v>1149.3351360321026</v>
      </c>
      <c r="P76" s="30" t="s">
        <v>54</v>
      </c>
      <c r="R76" s="78"/>
      <c r="S76" s="78"/>
      <c r="T76" s="78"/>
    </row>
    <row r="77" spans="2:20" ht="18.75">
      <c r="B77" s="66" t="s">
        <v>343</v>
      </c>
      <c r="C77" s="29"/>
      <c r="D77" s="63"/>
      <c r="E77" s="63"/>
      <c r="N77" s="404">
        <f>IF(N76&gt;0,+N76-((Mitigation!E50)/1000),0)</f>
        <v>373.80671082586053</v>
      </c>
      <c r="O77" s="59">
        <f>O76-(Mitigation!E44)</f>
        <v>1151.3351360321026</v>
      </c>
      <c r="P77" s="30" t="s">
        <v>55</v>
      </c>
      <c r="R77" s="78"/>
      <c r="S77" s="78"/>
      <c r="T77" s="78"/>
    </row>
    <row r="78" spans="2:20" ht="18.75">
      <c r="B78" s="66"/>
      <c r="C78" s="29"/>
      <c r="D78" s="63"/>
      <c r="E78" s="63"/>
      <c r="N78" s="404">
        <f>N77*(1-(Mitigation!E51/100))</f>
        <v>317.73570420198143</v>
      </c>
      <c r="O78" s="59">
        <f>O77*(1-(Mitigation!E51/100))</f>
        <v>978.6348656272871</v>
      </c>
      <c r="P78" s="30" t="s">
        <v>729</v>
      </c>
      <c r="R78" s="78"/>
      <c r="S78" s="78"/>
      <c r="T78" s="78"/>
    </row>
    <row r="79" spans="2:19" ht="60">
      <c r="B79" s="72"/>
      <c r="C79" s="62" t="s">
        <v>333</v>
      </c>
      <c r="D79" s="73" t="s">
        <v>663</v>
      </c>
      <c r="E79" s="73" t="s">
        <v>334</v>
      </c>
      <c r="F79" s="62" t="s">
        <v>335</v>
      </c>
      <c r="G79" s="62" t="s">
        <v>336</v>
      </c>
      <c r="H79" s="62" t="s">
        <v>297</v>
      </c>
      <c r="I79" s="62" t="s">
        <v>337</v>
      </c>
      <c r="J79" s="62" t="s">
        <v>664</v>
      </c>
      <c r="K79" s="61" t="s">
        <v>338</v>
      </c>
      <c r="L79" s="61" t="s">
        <v>339</v>
      </c>
      <c r="M79" s="61" t="s">
        <v>296</v>
      </c>
      <c r="N79" s="61" t="s">
        <v>297</v>
      </c>
      <c r="O79" s="61" t="s">
        <v>298</v>
      </c>
      <c r="P79"/>
      <c r="Q79"/>
      <c r="R79"/>
      <c r="S79"/>
    </row>
    <row r="80" spans="2:19" ht="15">
      <c r="B80" s="74" t="s">
        <v>240</v>
      </c>
      <c r="C80" s="273">
        <f>nrBaseSingleFamilyUnits</f>
        <v>0</v>
      </c>
      <c r="D80" s="274">
        <f>IF(nrClimateZone=4,7415,6047)</f>
        <v>6047</v>
      </c>
      <c r="E80" s="274">
        <f>+D80*C80/1000</f>
        <v>0</v>
      </c>
      <c r="F80" s="507"/>
      <c r="G80" s="273">
        <f>IF(F80&gt;0,F80*C$132/2204,E80*C$132/2204)</f>
        <v>0</v>
      </c>
      <c r="H80" s="275">
        <f>IF(F80&gt;0,F80*D$132/2204,E80*D$132/2204)</f>
        <v>0</v>
      </c>
      <c r="I80" s="275">
        <f>IF(F80&gt;0,F80*E$132/2204,E80*E$132/2204)</f>
        <v>0</v>
      </c>
      <c r="J80" s="273">
        <v>49.6</v>
      </c>
      <c r="K80" s="273">
        <f>C80*J80</f>
        <v>0</v>
      </c>
      <c r="L80" s="507"/>
      <c r="M80" s="273">
        <f>IF(L80&gt;0,L80*C$134*2.2/2204,K80*C$134*2.2/2204)</f>
        <v>0</v>
      </c>
      <c r="N80" s="273">
        <f>IF(L80&gt;0,L80*D$134*2.2/2204,K80*D$134*2.2/2204)</f>
        <v>0</v>
      </c>
      <c r="O80" s="273">
        <f>IF(L80&gt;0,L80*E$134*2.2/2204,K80*E$134*2.2/2204)</f>
        <v>0</v>
      </c>
      <c r="P80"/>
      <c r="Q80"/>
      <c r="R80"/>
      <c r="S80"/>
    </row>
    <row r="81" spans="2:18" ht="15">
      <c r="B81" s="75" t="s">
        <v>340</v>
      </c>
      <c r="C81" s="273">
        <f>nrBaseMultiFamilyUnits</f>
        <v>0</v>
      </c>
      <c r="D81" s="274">
        <f>IF(nrClimateZone=4,4434,3685)</f>
        <v>3685</v>
      </c>
      <c r="E81" s="274">
        <f>+C81*D81/1000</f>
        <v>0</v>
      </c>
      <c r="F81" s="507"/>
      <c r="G81" s="273">
        <f>IF(F81&gt;0,F81*C$132/2204,E81*C$132/2204)</f>
        <v>0</v>
      </c>
      <c r="H81" s="275">
        <f>IF(F81&gt;0,F81*D$132/2204,E81*D$132/2204)</f>
        <v>0</v>
      </c>
      <c r="I81" s="275">
        <f>IF(F81&gt;0,F81*E$132/2204,E81*E$132/2204)</f>
        <v>0</v>
      </c>
      <c r="J81" s="273">
        <v>22.5</v>
      </c>
      <c r="K81" s="273">
        <f>C81*J81</f>
        <v>0</v>
      </c>
      <c r="L81" s="507"/>
      <c r="M81" s="273">
        <f>IF(L81&gt;0,L81*C$134*2.2/2204,K81*C$134*2.2/2204)</f>
        <v>0</v>
      </c>
      <c r="N81" s="273">
        <f>IF(L81&gt;0,L81*D$134*2.2/2204,K81*D$134*2.2/2204)</f>
        <v>0</v>
      </c>
      <c r="O81" s="273">
        <f>IF(L81&gt;0,L81*E$134*2.2/2204,K81*E$134*2.2/2204)</f>
        <v>0</v>
      </c>
      <c r="P81"/>
      <c r="Q81"/>
      <c r="R81"/>
    </row>
    <row r="82" spans="2:18" ht="15">
      <c r="B82" s="40"/>
      <c r="C82" s="29"/>
      <c r="D82" s="29"/>
      <c r="E82" s="281"/>
      <c r="F82" s="29"/>
      <c r="G82" s="81"/>
      <c r="H82" s="81"/>
      <c r="I82" s="29"/>
      <c r="J82" s="281"/>
      <c r="K82" s="29"/>
      <c r="L82" s="282"/>
      <c r="M82" s="282"/>
      <c r="N82" s="31"/>
      <c r="P82"/>
      <c r="Q82"/>
      <c r="R82"/>
    </row>
    <row r="83" spans="2:14" ht="18.75">
      <c r="B83" s="65" t="s">
        <v>344</v>
      </c>
      <c r="C83" s="31"/>
      <c r="D83" s="31"/>
      <c r="E83" s="31"/>
      <c r="F83" s="31"/>
      <c r="G83" s="31"/>
      <c r="H83" s="31"/>
      <c r="I83" s="31"/>
      <c r="J83" s="31"/>
      <c r="K83" s="31"/>
      <c r="L83" s="31"/>
      <c r="M83" s="31"/>
      <c r="N83" s="31"/>
    </row>
    <row r="84" spans="2:26" ht="75">
      <c r="B84" s="59" t="s">
        <v>239</v>
      </c>
      <c r="C84" s="62" t="s">
        <v>293</v>
      </c>
      <c r="D84" s="62" t="s">
        <v>294</v>
      </c>
      <c r="E84" s="62" t="s">
        <v>295</v>
      </c>
      <c r="F84" s="62" t="s">
        <v>296</v>
      </c>
      <c r="G84" s="62" t="s">
        <v>297</v>
      </c>
      <c r="H84" s="62" t="s">
        <v>298</v>
      </c>
      <c r="I84" s="62" t="s">
        <v>299</v>
      </c>
      <c r="J84" s="62" t="s">
        <v>300</v>
      </c>
      <c r="K84" s="62" t="s">
        <v>296</v>
      </c>
      <c r="L84" s="62" t="s">
        <v>297</v>
      </c>
      <c r="M84" s="62" t="s">
        <v>298</v>
      </c>
      <c r="N84" s="31"/>
      <c r="R84" s="557" t="s">
        <v>715</v>
      </c>
      <c r="S84" s="556"/>
      <c r="T84" s="556"/>
      <c r="U84" s="117"/>
      <c r="V84" s="117"/>
      <c r="W84" s="117"/>
      <c r="X84" s="117"/>
      <c r="Y84" s="117"/>
      <c r="Z84" s="122"/>
    </row>
    <row r="85" spans="2:26" ht="45">
      <c r="B85" s="59" t="s">
        <v>209</v>
      </c>
      <c r="C85" s="60">
        <f>INDEX(nrBaseLandUseSqFt,1)</f>
        <v>0</v>
      </c>
      <c r="D85" s="60">
        <f>IF(nrClimateZone=4,$C85*$C$148,$C85*$E$148)</f>
        <v>0</v>
      </c>
      <c r="E85" s="474"/>
      <c r="F85" s="60">
        <f>IF(E85&gt;0,E85*C$132/2204,D85*C$132/2204)</f>
        <v>0</v>
      </c>
      <c r="G85" s="85">
        <f>IF(E85&gt;0,E85*D$132/2204,D85*D$132/2204)</f>
        <v>0</v>
      </c>
      <c r="H85" s="85">
        <f>IF(E85&gt;0,E85*E$132/2204,D85*E$132/2204)</f>
        <v>0</v>
      </c>
      <c r="I85" s="60">
        <f>IF(nrClimateZone=4,$C85*$D$148*1000,$C85*$F$148*1000)</f>
        <v>0</v>
      </c>
      <c r="J85" s="474"/>
      <c r="K85" s="60">
        <f>IF(J85&gt;0,J85*C$134*2.2/2204,I85*C$134*2.2/2204)</f>
        <v>0</v>
      </c>
      <c r="L85" s="276">
        <f>IF(J85&gt;0,J85*D$134*2.2/2204,I85*D$134*2.2/2204)</f>
        <v>0</v>
      </c>
      <c r="M85" s="276">
        <f aca="true" t="shared" si="16" ref="M85:M127">IF(J85&gt;0,J85*E$134*2.2/2204,I85*E$134*2.2/2204)</f>
        <v>0</v>
      </c>
      <c r="N85" s="31"/>
      <c r="R85" s="559" t="s">
        <v>712</v>
      </c>
      <c r="S85" s="572" t="s">
        <v>723</v>
      </c>
      <c r="T85" s="573" t="s">
        <v>716</v>
      </c>
      <c r="U85" s="62" t="s">
        <v>717</v>
      </c>
      <c r="V85" s="62" t="s">
        <v>718</v>
      </c>
      <c r="W85" s="62" t="s">
        <v>719</v>
      </c>
      <c r="X85" s="62" t="s">
        <v>720</v>
      </c>
      <c r="Y85" s="62" t="s">
        <v>721</v>
      </c>
      <c r="Z85" s="62" t="s">
        <v>722</v>
      </c>
    </row>
    <row r="86" spans="2:26" ht="15">
      <c r="B86" s="59" t="s">
        <v>206</v>
      </c>
      <c r="C86" s="60">
        <f>INDEX(nrBaseLandUseSqFt,2)</f>
        <v>0</v>
      </c>
      <c r="D86" s="60">
        <f>IF(nrClimateZone=4,$C86*$C$148,$C86*$E$148)</f>
        <v>0</v>
      </c>
      <c r="E86" s="474"/>
      <c r="F86" s="60">
        <f aca="true" t="shared" si="17" ref="F86:F127">IF(E86&gt;0,E86*C$132/2204,D86*C$132/2204)</f>
        <v>0</v>
      </c>
      <c r="G86" s="85">
        <f aca="true" t="shared" si="18" ref="G86:G127">IF(E86&gt;0,E86*D$132/2204,D86*D$132/2204)</f>
        <v>0</v>
      </c>
      <c r="H86" s="85">
        <f aca="true" t="shared" si="19" ref="H86:H127">IF(E86&gt;0,E86*E$132/2204,D86*E$132/2204)</f>
        <v>0</v>
      </c>
      <c r="I86" s="60">
        <f>IF(nrClimateZone=4,$C86*$D$148*1000,$C86*$F$148*1000)</f>
        <v>0</v>
      </c>
      <c r="J86" s="474"/>
      <c r="K86" s="60">
        <f aca="true" t="shared" si="20" ref="K86:K127">IF(J86&gt;0,J86*C$134*2.2/2204,I86*C$134*2.2/2204)</f>
        <v>0</v>
      </c>
      <c r="L86" s="276">
        <f aca="true" t="shared" si="21" ref="L86:L127">IF(J86&gt;0,J86*D$134*2.2/2204,I86*D$134*2.2/2204)</f>
        <v>0</v>
      </c>
      <c r="M86" s="276">
        <f t="shared" si="16"/>
        <v>0</v>
      </c>
      <c r="N86" s="31"/>
      <c r="R86" s="552"/>
      <c r="S86" s="553"/>
      <c r="T86" s="558"/>
      <c r="U86" s="554">
        <f>S86*C$132/2204</f>
        <v>0</v>
      </c>
      <c r="V86" s="555">
        <f>S86*D$132/2204</f>
        <v>0</v>
      </c>
      <c r="W86" s="555">
        <f>S86*E$132/2204</f>
        <v>0</v>
      </c>
      <c r="X86" s="554">
        <f>T86*C$134*2.2/2204</f>
        <v>0</v>
      </c>
      <c r="Y86" s="555">
        <f>T86*D$134*2.2/2204</f>
        <v>0</v>
      </c>
      <c r="Z86" s="555">
        <f>T86*E$134*2.2/2204</f>
        <v>0</v>
      </c>
    </row>
    <row r="87" spans="2:26" ht="15">
      <c r="B87" s="59" t="s">
        <v>203</v>
      </c>
      <c r="C87" s="60">
        <f>INDEX(nrBaseLandUseSqFt,3)</f>
        <v>0</v>
      </c>
      <c r="D87" s="60">
        <f>IF(nrClimateZone=4,$C87*$C$148,$C87*$E$148)</f>
        <v>0</v>
      </c>
      <c r="E87" s="474"/>
      <c r="F87" s="60">
        <f t="shared" si="17"/>
        <v>0</v>
      </c>
      <c r="G87" s="85">
        <f t="shared" si="18"/>
        <v>0</v>
      </c>
      <c r="H87" s="85">
        <f t="shared" si="19"/>
        <v>0</v>
      </c>
      <c r="I87" s="60">
        <f>IF(nrClimateZone=4,$C87*$D$148*1000,$C87*$F$148*1000)</f>
        <v>0</v>
      </c>
      <c r="J87" s="474"/>
      <c r="K87" s="60">
        <f t="shared" si="20"/>
        <v>0</v>
      </c>
      <c r="L87" s="276">
        <f t="shared" si="21"/>
        <v>0</v>
      </c>
      <c r="M87" s="276">
        <f t="shared" si="16"/>
        <v>0</v>
      </c>
      <c r="N87" s="31"/>
      <c r="R87" s="552"/>
      <c r="S87" s="553"/>
      <c r="T87" s="558"/>
      <c r="U87" s="554">
        <f aca="true" t="shared" si="22" ref="U87:U127">S87*C$132/2204</f>
        <v>0</v>
      </c>
      <c r="V87" s="555">
        <f aca="true" t="shared" si="23" ref="V87:V127">S87*D$132/2204</f>
        <v>0</v>
      </c>
      <c r="W87" s="555">
        <f aca="true" t="shared" si="24" ref="W87:W127">S87*E$132/2204</f>
        <v>0</v>
      </c>
      <c r="X87" s="554">
        <f aca="true" t="shared" si="25" ref="X87:X127">T87*C$134*2.2/2204</f>
        <v>0</v>
      </c>
      <c r="Y87" s="555">
        <f aca="true" t="shared" si="26" ref="Y87:Y127">T87*D$134*2.2/2204</f>
        <v>0</v>
      </c>
      <c r="Z87" s="555">
        <f aca="true" t="shared" si="27" ref="Z87:Z127">T87*E$134*2.2/2204</f>
        <v>0</v>
      </c>
    </row>
    <row r="88" spans="2:26" ht="15">
      <c r="B88" s="59" t="s">
        <v>201</v>
      </c>
      <c r="C88" s="60">
        <f>INDEX(nrBaseLandUseSqFt,4)</f>
        <v>0</v>
      </c>
      <c r="D88" s="60">
        <f>IF(nrClimateZone=4,$C88*$C$148,$C88*$E$148)</f>
        <v>0</v>
      </c>
      <c r="E88" s="474"/>
      <c r="F88" s="60">
        <f t="shared" si="17"/>
        <v>0</v>
      </c>
      <c r="G88" s="85">
        <f t="shared" si="18"/>
        <v>0</v>
      </c>
      <c r="H88" s="85">
        <f t="shared" si="19"/>
        <v>0</v>
      </c>
      <c r="I88" s="60">
        <f>IF(nrClimateZone=4,$C88*$D$148*1000,$C88*$F$148*1000)</f>
        <v>0</v>
      </c>
      <c r="J88" s="474"/>
      <c r="K88" s="60">
        <f t="shared" si="20"/>
        <v>0</v>
      </c>
      <c r="L88" s="276">
        <f t="shared" si="21"/>
        <v>0</v>
      </c>
      <c r="M88" s="276">
        <f t="shared" si="16"/>
        <v>0</v>
      </c>
      <c r="N88" s="31"/>
      <c r="R88" s="552"/>
      <c r="S88" s="553"/>
      <c r="T88" s="558"/>
      <c r="U88" s="554">
        <f t="shared" si="22"/>
        <v>0</v>
      </c>
      <c r="V88" s="555">
        <f t="shared" si="23"/>
        <v>0</v>
      </c>
      <c r="W88" s="555">
        <f t="shared" si="24"/>
        <v>0</v>
      </c>
      <c r="X88" s="554">
        <f t="shared" si="25"/>
        <v>0</v>
      </c>
      <c r="Y88" s="555">
        <f t="shared" si="26"/>
        <v>0</v>
      </c>
      <c r="Z88" s="555">
        <f t="shared" si="27"/>
        <v>0</v>
      </c>
    </row>
    <row r="89" spans="2:26" ht="15">
      <c r="B89" s="59" t="s">
        <v>199</v>
      </c>
      <c r="C89" s="60">
        <f>INDEX(nrBaseLandUseSqFt,5)</f>
        <v>0</v>
      </c>
      <c r="D89" s="60">
        <f>IF(nrClimateZone=4,$C89*$C$149,$C89*$E$149)</f>
        <v>0</v>
      </c>
      <c r="E89" s="474"/>
      <c r="F89" s="60">
        <f t="shared" si="17"/>
        <v>0</v>
      </c>
      <c r="G89" s="85">
        <f t="shared" si="18"/>
        <v>0</v>
      </c>
      <c r="H89" s="85">
        <f t="shared" si="19"/>
        <v>0</v>
      </c>
      <c r="I89" s="60">
        <f>IF(nrClimateZone=4,$C89*$D$149*1000,$C89*$F$149*1000)</f>
        <v>0</v>
      </c>
      <c r="J89" s="474"/>
      <c r="K89" s="60">
        <f t="shared" si="20"/>
        <v>0</v>
      </c>
      <c r="L89" s="276">
        <f t="shared" si="21"/>
        <v>0</v>
      </c>
      <c r="M89" s="276">
        <f t="shared" si="16"/>
        <v>0</v>
      </c>
      <c r="N89" s="31"/>
      <c r="R89" s="552"/>
      <c r="S89" s="553"/>
      <c r="T89" s="558"/>
      <c r="U89" s="554">
        <f t="shared" si="22"/>
        <v>0</v>
      </c>
      <c r="V89" s="555">
        <f t="shared" si="23"/>
        <v>0</v>
      </c>
      <c r="W89" s="555">
        <f t="shared" si="24"/>
        <v>0</v>
      </c>
      <c r="X89" s="554">
        <f t="shared" si="25"/>
        <v>0</v>
      </c>
      <c r="Y89" s="555">
        <f t="shared" si="26"/>
        <v>0</v>
      </c>
      <c r="Z89" s="555">
        <f t="shared" si="27"/>
        <v>0</v>
      </c>
    </row>
    <row r="90" spans="2:26" ht="15">
      <c r="B90" s="59" t="s">
        <v>197</v>
      </c>
      <c r="C90" s="60">
        <f>INDEX(nrBaseLandUseSqFt,6)</f>
        <v>0</v>
      </c>
      <c r="D90" s="60">
        <f>IF(nrClimateZone=4,$C90*$C$149,$C90*$E$149)</f>
        <v>0</v>
      </c>
      <c r="E90" s="474"/>
      <c r="F90" s="60">
        <f t="shared" si="17"/>
        <v>0</v>
      </c>
      <c r="G90" s="85">
        <f t="shared" si="18"/>
        <v>0</v>
      </c>
      <c r="H90" s="85">
        <f t="shared" si="19"/>
        <v>0</v>
      </c>
      <c r="I90" s="60">
        <f>IF(nrClimateZone=4,$C90*$D$149*1000,$C90*$F$149*1000)</f>
        <v>0</v>
      </c>
      <c r="J90" s="474"/>
      <c r="K90" s="60">
        <f t="shared" si="20"/>
        <v>0</v>
      </c>
      <c r="L90" s="276">
        <f t="shared" si="21"/>
        <v>0</v>
      </c>
      <c r="M90" s="276">
        <f t="shared" si="16"/>
        <v>0</v>
      </c>
      <c r="N90" s="31"/>
      <c r="R90" s="552"/>
      <c r="S90" s="553"/>
      <c r="T90" s="558"/>
      <c r="U90" s="554">
        <f t="shared" si="22"/>
        <v>0</v>
      </c>
      <c r="V90" s="555">
        <f t="shared" si="23"/>
        <v>0</v>
      </c>
      <c r="W90" s="555">
        <f t="shared" si="24"/>
        <v>0</v>
      </c>
      <c r="X90" s="554">
        <f t="shared" si="25"/>
        <v>0</v>
      </c>
      <c r="Y90" s="555">
        <f t="shared" si="26"/>
        <v>0</v>
      </c>
      <c r="Z90" s="555">
        <f t="shared" si="27"/>
        <v>0</v>
      </c>
    </row>
    <row r="91" spans="2:26" ht="15">
      <c r="B91" s="59" t="s">
        <v>195</v>
      </c>
      <c r="C91" s="60">
        <f>INDEX(nrBaseLandUseSqFt,7)</f>
        <v>0</v>
      </c>
      <c r="D91" s="60">
        <f>IF(nrClimateZone=4,$C91*$C$141,$C91*$E$141)</f>
        <v>0</v>
      </c>
      <c r="E91" s="474"/>
      <c r="F91" s="60">
        <f t="shared" si="17"/>
        <v>0</v>
      </c>
      <c r="G91" s="85">
        <f t="shared" si="18"/>
        <v>0</v>
      </c>
      <c r="H91" s="85">
        <f t="shared" si="19"/>
        <v>0</v>
      </c>
      <c r="I91" s="60">
        <f>IF(nrClimateZone=4,$C91*$D$141*1000,$C91*$F$141*1000)</f>
        <v>0</v>
      </c>
      <c r="J91" s="474"/>
      <c r="K91" s="60">
        <f t="shared" si="20"/>
        <v>0</v>
      </c>
      <c r="L91" s="276">
        <f t="shared" si="21"/>
        <v>0</v>
      </c>
      <c r="M91" s="276">
        <f t="shared" si="16"/>
        <v>0</v>
      </c>
      <c r="N91" s="31"/>
      <c r="R91" s="552"/>
      <c r="S91" s="553"/>
      <c r="T91" s="558"/>
      <c r="U91" s="554">
        <f t="shared" si="22"/>
        <v>0</v>
      </c>
      <c r="V91" s="555">
        <f t="shared" si="23"/>
        <v>0</v>
      </c>
      <c r="W91" s="555">
        <f t="shared" si="24"/>
        <v>0</v>
      </c>
      <c r="X91" s="554">
        <f t="shared" si="25"/>
        <v>0</v>
      </c>
      <c r="Y91" s="555">
        <f t="shared" si="26"/>
        <v>0</v>
      </c>
      <c r="Z91" s="555">
        <f t="shared" si="27"/>
        <v>0</v>
      </c>
    </row>
    <row r="92" spans="2:26" ht="15">
      <c r="B92" s="59" t="s">
        <v>193</v>
      </c>
      <c r="C92" s="60">
        <f>INDEX(nrBaseLandUseSqFt,8)</f>
        <v>0</v>
      </c>
      <c r="D92" s="60">
        <f>IF(nrClimateZone=4,$C92*$C$152,$C92*$E$152)</f>
        <v>0</v>
      </c>
      <c r="E92" s="474"/>
      <c r="F92" s="60">
        <f t="shared" si="17"/>
        <v>0</v>
      </c>
      <c r="G92" s="85">
        <f t="shared" si="18"/>
        <v>0</v>
      </c>
      <c r="H92" s="85">
        <f t="shared" si="19"/>
        <v>0</v>
      </c>
      <c r="I92" s="60">
        <f>IF(nrClimateZone=4,$C92*$D$152*1000,$C92*$F$152*1000)</f>
        <v>0</v>
      </c>
      <c r="J92" s="474"/>
      <c r="K92" s="60">
        <f t="shared" si="20"/>
        <v>0</v>
      </c>
      <c r="L92" s="276">
        <f t="shared" si="21"/>
        <v>0</v>
      </c>
      <c r="M92" s="276">
        <f t="shared" si="16"/>
        <v>0</v>
      </c>
      <c r="N92" s="31"/>
      <c r="R92" s="552"/>
      <c r="S92" s="553"/>
      <c r="T92" s="558"/>
      <c r="U92" s="554">
        <f t="shared" si="22"/>
        <v>0</v>
      </c>
      <c r="V92" s="555">
        <f t="shared" si="23"/>
        <v>0</v>
      </c>
      <c r="W92" s="555">
        <f t="shared" si="24"/>
        <v>0</v>
      </c>
      <c r="X92" s="554">
        <f t="shared" si="25"/>
        <v>0</v>
      </c>
      <c r="Y92" s="555">
        <f t="shared" si="26"/>
        <v>0</v>
      </c>
      <c r="Z92" s="555">
        <f t="shared" si="27"/>
        <v>0</v>
      </c>
    </row>
    <row r="93" spans="2:26" ht="15">
      <c r="B93" s="59" t="s">
        <v>190</v>
      </c>
      <c r="C93" s="60">
        <f>INDEX(nrBaseLandUseSqFt,9)</f>
        <v>0</v>
      </c>
      <c r="D93" s="60">
        <v>0</v>
      </c>
      <c r="E93" s="474"/>
      <c r="F93" s="60">
        <f t="shared" si="17"/>
        <v>0</v>
      </c>
      <c r="G93" s="85">
        <f t="shared" si="18"/>
        <v>0</v>
      </c>
      <c r="H93" s="85">
        <f t="shared" si="19"/>
        <v>0</v>
      </c>
      <c r="I93" s="60">
        <v>0</v>
      </c>
      <c r="J93" s="474"/>
      <c r="K93" s="60">
        <f t="shared" si="20"/>
        <v>0</v>
      </c>
      <c r="L93" s="276">
        <f t="shared" si="21"/>
        <v>0</v>
      </c>
      <c r="M93" s="276">
        <f t="shared" si="16"/>
        <v>0</v>
      </c>
      <c r="N93" s="31"/>
      <c r="R93" s="552"/>
      <c r="S93" s="553"/>
      <c r="T93" s="558"/>
      <c r="U93" s="554">
        <f t="shared" si="22"/>
        <v>0</v>
      </c>
      <c r="V93" s="555">
        <f t="shared" si="23"/>
        <v>0</v>
      </c>
      <c r="W93" s="555">
        <f t="shared" si="24"/>
        <v>0</v>
      </c>
      <c r="X93" s="554">
        <f t="shared" si="25"/>
        <v>0</v>
      </c>
      <c r="Y93" s="555">
        <f t="shared" si="26"/>
        <v>0</v>
      </c>
      <c r="Z93" s="555">
        <f t="shared" si="27"/>
        <v>0</v>
      </c>
    </row>
    <row r="94" spans="2:26" ht="15">
      <c r="B94" s="59" t="s">
        <v>188</v>
      </c>
      <c r="C94" s="60">
        <f>INDEX(nrBaseLandUseSqFt,10)</f>
        <v>0</v>
      </c>
      <c r="D94" s="60">
        <f>IF(nrClimateZone=4,$C94*$C$144,$C94*$E$144)</f>
        <v>0</v>
      </c>
      <c r="E94" s="474"/>
      <c r="F94" s="60">
        <f t="shared" si="17"/>
        <v>0</v>
      </c>
      <c r="G94" s="85">
        <f t="shared" si="18"/>
        <v>0</v>
      </c>
      <c r="H94" s="85">
        <f t="shared" si="19"/>
        <v>0</v>
      </c>
      <c r="I94" s="60">
        <f>IF(nrClimateZone=4,$C94*$D$144*1000,$C94*$F$144*1000)</f>
        <v>0</v>
      </c>
      <c r="J94" s="474"/>
      <c r="K94" s="60">
        <f t="shared" si="20"/>
        <v>0</v>
      </c>
      <c r="L94" s="276">
        <f t="shared" si="21"/>
        <v>0</v>
      </c>
      <c r="M94" s="276">
        <f t="shared" si="16"/>
        <v>0</v>
      </c>
      <c r="N94" s="31"/>
      <c r="R94" s="552"/>
      <c r="S94" s="553"/>
      <c r="T94" s="558"/>
      <c r="U94" s="554">
        <f t="shared" si="22"/>
        <v>0</v>
      </c>
      <c r="V94" s="555">
        <f t="shared" si="23"/>
        <v>0</v>
      </c>
      <c r="W94" s="555">
        <f t="shared" si="24"/>
        <v>0</v>
      </c>
      <c r="X94" s="554">
        <f t="shared" si="25"/>
        <v>0</v>
      </c>
      <c r="Y94" s="555">
        <f t="shared" si="26"/>
        <v>0</v>
      </c>
      <c r="Z94" s="555">
        <f t="shared" si="27"/>
        <v>0</v>
      </c>
    </row>
    <row r="95" spans="2:26" ht="15">
      <c r="B95" s="59" t="s">
        <v>186</v>
      </c>
      <c r="C95" s="60">
        <f>INDEX(nrBaseLandUseSqFt,11)</f>
        <v>0</v>
      </c>
      <c r="D95" s="60">
        <f>IF(nrClimateZone=4,$C95*$C$144,$C95*$E$144)</f>
        <v>0</v>
      </c>
      <c r="E95" s="474"/>
      <c r="F95" s="60">
        <f t="shared" si="17"/>
        <v>0</v>
      </c>
      <c r="G95" s="85">
        <f t="shared" si="18"/>
        <v>0</v>
      </c>
      <c r="H95" s="85">
        <f t="shared" si="19"/>
        <v>0</v>
      </c>
      <c r="I95" s="60">
        <f>IF(nrClimateZone=4,$C95*$D$144*1000,$C95*$F$144*1000)</f>
        <v>0</v>
      </c>
      <c r="J95" s="474"/>
      <c r="K95" s="60">
        <f t="shared" si="20"/>
        <v>0</v>
      </c>
      <c r="L95" s="276">
        <f t="shared" si="21"/>
        <v>0</v>
      </c>
      <c r="M95" s="276">
        <f t="shared" si="16"/>
        <v>0</v>
      </c>
      <c r="N95" s="31"/>
      <c r="R95" s="552"/>
      <c r="S95" s="553"/>
      <c r="T95" s="558"/>
      <c r="U95" s="554">
        <f t="shared" si="22"/>
        <v>0</v>
      </c>
      <c r="V95" s="555">
        <f t="shared" si="23"/>
        <v>0</v>
      </c>
      <c r="W95" s="555">
        <f t="shared" si="24"/>
        <v>0</v>
      </c>
      <c r="X95" s="554">
        <f t="shared" si="25"/>
        <v>0</v>
      </c>
      <c r="Y95" s="555">
        <f t="shared" si="26"/>
        <v>0</v>
      </c>
      <c r="Z95" s="555">
        <f t="shared" si="27"/>
        <v>0</v>
      </c>
    </row>
    <row r="96" spans="2:26" ht="15">
      <c r="B96" s="59" t="s">
        <v>184</v>
      </c>
      <c r="C96" s="60">
        <f>INDEX(nrBaseLandUseSqFt,12)</f>
        <v>0</v>
      </c>
      <c r="D96" s="60">
        <f>IF(nrClimateZone=4,$C96*$C$143,$C96*$E$143)</f>
        <v>0</v>
      </c>
      <c r="E96" s="474"/>
      <c r="F96" s="60">
        <f t="shared" si="17"/>
        <v>0</v>
      </c>
      <c r="G96" s="85">
        <f t="shared" si="18"/>
        <v>0</v>
      </c>
      <c r="H96" s="85">
        <f t="shared" si="19"/>
        <v>0</v>
      </c>
      <c r="I96" s="60">
        <f>IF(nrClimateZone=4,$C96*$D$143*1000,$C96*$F$143*1000)</f>
        <v>0</v>
      </c>
      <c r="J96" s="474"/>
      <c r="K96" s="60">
        <f t="shared" si="20"/>
        <v>0</v>
      </c>
      <c r="L96" s="276">
        <f t="shared" si="21"/>
        <v>0</v>
      </c>
      <c r="M96" s="276">
        <f t="shared" si="16"/>
        <v>0</v>
      </c>
      <c r="N96" s="31"/>
      <c r="R96" s="552"/>
      <c r="S96" s="553"/>
      <c r="T96" s="558"/>
      <c r="U96" s="554">
        <f t="shared" si="22"/>
        <v>0</v>
      </c>
      <c r="V96" s="555">
        <f t="shared" si="23"/>
        <v>0</v>
      </c>
      <c r="W96" s="555">
        <f t="shared" si="24"/>
        <v>0</v>
      </c>
      <c r="X96" s="554">
        <f t="shared" si="25"/>
        <v>0</v>
      </c>
      <c r="Y96" s="555">
        <f t="shared" si="26"/>
        <v>0</v>
      </c>
      <c r="Z96" s="555">
        <f t="shared" si="27"/>
        <v>0</v>
      </c>
    </row>
    <row r="97" spans="2:26" ht="15">
      <c r="B97" s="59" t="s">
        <v>183</v>
      </c>
      <c r="C97" s="60">
        <f>INDEX(nrBaseLandUseSqFt,13)</f>
        <v>0</v>
      </c>
      <c r="D97" s="60">
        <f>IF(nrClimateZone=4,$C97*$C$143,$C97*$E$143)</f>
        <v>0</v>
      </c>
      <c r="E97" s="474"/>
      <c r="F97" s="60">
        <f t="shared" si="17"/>
        <v>0</v>
      </c>
      <c r="G97" s="85">
        <f t="shared" si="18"/>
        <v>0</v>
      </c>
      <c r="H97" s="85">
        <f t="shared" si="19"/>
        <v>0</v>
      </c>
      <c r="I97" s="60">
        <f>IF(nrClimateZone=4,$C97*$D$143*1000,$C97*$F$143*1000)</f>
        <v>0</v>
      </c>
      <c r="J97" s="474"/>
      <c r="K97" s="60">
        <f t="shared" si="20"/>
        <v>0</v>
      </c>
      <c r="L97" s="276">
        <f t="shared" si="21"/>
        <v>0</v>
      </c>
      <c r="M97" s="276">
        <f t="shared" si="16"/>
        <v>0</v>
      </c>
      <c r="N97" s="31"/>
      <c r="R97" s="552"/>
      <c r="S97" s="553"/>
      <c r="T97" s="558"/>
      <c r="U97" s="554">
        <f t="shared" si="22"/>
        <v>0</v>
      </c>
      <c r="V97" s="555">
        <f t="shared" si="23"/>
        <v>0</v>
      </c>
      <c r="W97" s="555">
        <f t="shared" si="24"/>
        <v>0</v>
      </c>
      <c r="X97" s="554">
        <f t="shared" si="25"/>
        <v>0</v>
      </c>
      <c r="Y97" s="555">
        <f t="shared" si="26"/>
        <v>0</v>
      </c>
      <c r="Z97" s="555">
        <f t="shared" si="27"/>
        <v>0</v>
      </c>
    </row>
    <row r="98" spans="2:26" ht="15">
      <c r="B98" s="59" t="s">
        <v>180</v>
      </c>
      <c r="C98" s="60">
        <f>INDEX(nrBaseLandUseSqFt,14)</f>
        <v>0</v>
      </c>
      <c r="D98" s="60">
        <f>IF(nrClimateZone=4,$C98*$C$143,$C98*$E$143)</f>
        <v>0</v>
      </c>
      <c r="E98" s="474"/>
      <c r="F98" s="60">
        <f t="shared" si="17"/>
        <v>0</v>
      </c>
      <c r="G98" s="85">
        <f t="shared" si="18"/>
        <v>0</v>
      </c>
      <c r="H98" s="85">
        <f t="shared" si="19"/>
        <v>0</v>
      </c>
      <c r="I98" s="60">
        <f>IF(nrClimateZone=4,$C98*$D$143*1000,$C98*$F$143*1000)</f>
        <v>0</v>
      </c>
      <c r="J98" s="474"/>
      <c r="K98" s="60">
        <f t="shared" si="20"/>
        <v>0</v>
      </c>
      <c r="L98" s="276">
        <f t="shared" si="21"/>
        <v>0</v>
      </c>
      <c r="M98" s="276">
        <f t="shared" si="16"/>
        <v>0</v>
      </c>
      <c r="N98" s="31"/>
      <c r="R98" s="552"/>
      <c r="S98" s="553"/>
      <c r="T98" s="558"/>
      <c r="U98" s="554">
        <f t="shared" si="22"/>
        <v>0</v>
      </c>
      <c r="V98" s="555">
        <f t="shared" si="23"/>
        <v>0</v>
      </c>
      <c r="W98" s="555">
        <f t="shared" si="24"/>
        <v>0</v>
      </c>
      <c r="X98" s="554">
        <f t="shared" si="25"/>
        <v>0</v>
      </c>
      <c r="Y98" s="555">
        <f t="shared" si="26"/>
        <v>0</v>
      </c>
      <c r="Z98" s="555">
        <f t="shared" si="27"/>
        <v>0</v>
      </c>
    </row>
    <row r="99" spans="2:26" ht="15">
      <c r="B99" s="59" t="s">
        <v>179</v>
      </c>
      <c r="C99" s="60">
        <f>INDEX(nrBaseLandUseSqFt,15)</f>
        <v>0</v>
      </c>
      <c r="D99" s="60">
        <f>IF(nrClimateZone=4,$C99*$C$143,$C99*$E$143)</f>
        <v>0</v>
      </c>
      <c r="E99" s="474"/>
      <c r="F99" s="60">
        <f t="shared" si="17"/>
        <v>0</v>
      </c>
      <c r="G99" s="85">
        <f t="shared" si="18"/>
        <v>0</v>
      </c>
      <c r="H99" s="85">
        <f t="shared" si="19"/>
        <v>0</v>
      </c>
      <c r="I99" s="60">
        <f>IF(nrClimateZone=4,$C99*$D$143*1000,$C99*$F$143*1000)</f>
        <v>0</v>
      </c>
      <c r="J99" s="474"/>
      <c r="K99" s="60">
        <f t="shared" si="20"/>
        <v>0</v>
      </c>
      <c r="L99" s="276">
        <f t="shared" si="21"/>
        <v>0</v>
      </c>
      <c r="M99" s="276">
        <f t="shared" si="16"/>
        <v>0</v>
      </c>
      <c r="N99" s="31"/>
      <c r="R99" s="552"/>
      <c r="S99" s="553"/>
      <c r="T99" s="558"/>
      <c r="U99" s="554">
        <f t="shared" si="22"/>
        <v>0</v>
      </c>
      <c r="V99" s="555">
        <f t="shared" si="23"/>
        <v>0</v>
      </c>
      <c r="W99" s="555">
        <f t="shared" si="24"/>
        <v>0</v>
      </c>
      <c r="X99" s="554">
        <f t="shared" si="25"/>
        <v>0</v>
      </c>
      <c r="Y99" s="555">
        <f t="shared" si="26"/>
        <v>0</v>
      </c>
      <c r="Z99" s="555">
        <f t="shared" si="27"/>
        <v>0</v>
      </c>
    </row>
    <row r="100" spans="2:26" ht="15">
      <c r="B100" s="59" t="s">
        <v>178</v>
      </c>
      <c r="C100" s="60">
        <f>INDEX(nrBaseLandUseSqFt,16)</f>
        <v>0</v>
      </c>
      <c r="D100" s="60">
        <f>IF(nrClimateZone=4,$C100*$C$151,$C100*$E$151)</f>
        <v>0</v>
      </c>
      <c r="E100" s="474"/>
      <c r="F100" s="60">
        <f t="shared" si="17"/>
        <v>0</v>
      </c>
      <c r="G100" s="85">
        <f t="shared" si="18"/>
        <v>0</v>
      </c>
      <c r="H100" s="85">
        <f t="shared" si="19"/>
        <v>0</v>
      </c>
      <c r="I100" s="60">
        <f>IF(nrClimateZone=4,$C100*$D$151*1000,$C100*$F$151*1000)</f>
        <v>0</v>
      </c>
      <c r="J100" s="474"/>
      <c r="K100" s="60">
        <f t="shared" si="20"/>
        <v>0</v>
      </c>
      <c r="L100" s="276">
        <f t="shared" si="21"/>
        <v>0</v>
      </c>
      <c r="M100" s="276">
        <f t="shared" si="16"/>
        <v>0</v>
      </c>
      <c r="N100" s="31"/>
      <c r="R100" s="552"/>
      <c r="S100" s="553"/>
      <c r="T100" s="558"/>
      <c r="U100" s="554">
        <f t="shared" si="22"/>
        <v>0</v>
      </c>
      <c r="V100" s="555">
        <f t="shared" si="23"/>
        <v>0</v>
      </c>
      <c r="W100" s="555">
        <f t="shared" si="24"/>
        <v>0</v>
      </c>
      <c r="X100" s="554">
        <f t="shared" si="25"/>
        <v>0</v>
      </c>
      <c r="Y100" s="555">
        <f t="shared" si="26"/>
        <v>0</v>
      </c>
      <c r="Z100" s="555">
        <f t="shared" si="27"/>
        <v>0</v>
      </c>
    </row>
    <row r="101" spans="2:26" ht="15">
      <c r="B101" s="59" t="s">
        <v>176</v>
      </c>
      <c r="C101" s="60">
        <f>INDEX(nrBaseLandUseSqFt,17)</f>
        <v>0</v>
      </c>
      <c r="D101" s="60">
        <f>IF(nrClimateZone=4,$C101*$C$151,$C101*$E$151)</f>
        <v>0</v>
      </c>
      <c r="E101" s="474"/>
      <c r="F101" s="60">
        <f t="shared" si="17"/>
        <v>0</v>
      </c>
      <c r="G101" s="85">
        <f t="shared" si="18"/>
        <v>0</v>
      </c>
      <c r="H101" s="85">
        <f t="shared" si="19"/>
        <v>0</v>
      </c>
      <c r="I101" s="60">
        <f>IF(nrClimateZone=4,$C101*$D$151*1000,$C101*$F$151*1000)</f>
        <v>0</v>
      </c>
      <c r="J101" s="474"/>
      <c r="K101" s="60">
        <f t="shared" si="20"/>
        <v>0</v>
      </c>
      <c r="L101" s="276">
        <f t="shared" si="21"/>
        <v>0</v>
      </c>
      <c r="M101" s="276">
        <f t="shared" si="16"/>
        <v>0</v>
      </c>
      <c r="N101" s="31"/>
      <c r="R101" s="552"/>
      <c r="S101" s="553"/>
      <c r="T101" s="558"/>
      <c r="U101" s="554">
        <f t="shared" si="22"/>
        <v>0</v>
      </c>
      <c r="V101" s="555">
        <f t="shared" si="23"/>
        <v>0</v>
      </c>
      <c r="W101" s="555">
        <f t="shared" si="24"/>
        <v>0</v>
      </c>
      <c r="X101" s="554">
        <f t="shared" si="25"/>
        <v>0</v>
      </c>
      <c r="Y101" s="555">
        <f t="shared" si="26"/>
        <v>0</v>
      </c>
      <c r="Z101" s="555">
        <f t="shared" si="27"/>
        <v>0</v>
      </c>
    </row>
    <row r="102" spans="2:26" ht="15">
      <c r="B102" s="59" t="s">
        <v>174</v>
      </c>
      <c r="C102" s="60">
        <f>INDEX(nrBaseLandUseSqFt,18)</f>
        <v>0</v>
      </c>
      <c r="D102" s="60">
        <f aca="true" t="shared" si="28" ref="D102:D109">IF(nrClimateZone=4,$C102*$C$144,$C102*$E$144)</f>
        <v>0</v>
      </c>
      <c r="E102" s="474"/>
      <c r="F102" s="60">
        <f t="shared" si="17"/>
        <v>0</v>
      </c>
      <c r="G102" s="85">
        <f t="shared" si="18"/>
        <v>0</v>
      </c>
      <c r="H102" s="85">
        <f t="shared" si="19"/>
        <v>0</v>
      </c>
      <c r="I102" s="60">
        <f aca="true" t="shared" si="29" ref="I102:I109">IF(nrClimateZone=4,$C102*$D$144*1000,$C102*$F$144*1000)</f>
        <v>0</v>
      </c>
      <c r="J102" s="474"/>
      <c r="K102" s="60">
        <f t="shared" si="20"/>
        <v>0</v>
      </c>
      <c r="L102" s="276">
        <f t="shared" si="21"/>
        <v>0</v>
      </c>
      <c r="M102" s="276">
        <f t="shared" si="16"/>
        <v>0</v>
      </c>
      <c r="N102" s="31"/>
      <c r="R102" s="552"/>
      <c r="S102" s="553"/>
      <c r="T102" s="558"/>
      <c r="U102" s="554">
        <f t="shared" si="22"/>
        <v>0</v>
      </c>
      <c r="V102" s="555">
        <f t="shared" si="23"/>
        <v>0</v>
      </c>
      <c r="W102" s="555">
        <f t="shared" si="24"/>
        <v>0</v>
      </c>
      <c r="X102" s="554">
        <f t="shared" si="25"/>
        <v>0</v>
      </c>
      <c r="Y102" s="555">
        <f t="shared" si="26"/>
        <v>0</v>
      </c>
      <c r="Z102" s="555">
        <f t="shared" si="27"/>
        <v>0</v>
      </c>
    </row>
    <row r="103" spans="2:26" ht="15">
      <c r="B103" s="59" t="s">
        <v>173</v>
      </c>
      <c r="C103" s="60">
        <f>INDEX(nrBaseLandUseSqFt,19)</f>
        <v>0</v>
      </c>
      <c r="D103" s="60">
        <f t="shared" si="28"/>
        <v>0</v>
      </c>
      <c r="E103" s="474"/>
      <c r="F103" s="60">
        <f t="shared" si="17"/>
        <v>0</v>
      </c>
      <c r="G103" s="85">
        <f t="shared" si="18"/>
        <v>0</v>
      </c>
      <c r="H103" s="85">
        <f t="shared" si="19"/>
        <v>0</v>
      </c>
      <c r="I103" s="60">
        <f t="shared" si="29"/>
        <v>0</v>
      </c>
      <c r="J103" s="474"/>
      <c r="K103" s="60">
        <f t="shared" si="20"/>
        <v>0</v>
      </c>
      <c r="L103" s="276">
        <f t="shared" si="21"/>
        <v>0</v>
      </c>
      <c r="M103" s="276">
        <f t="shared" si="16"/>
        <v>0</v>
      </c>
      <c r="N103" s="31"/>
      <c r="R103" s="552"/>
      <c r="S103" s="553"/>
      <c r="T103" s="558"/>
      <c r="U103" s="554">
        <f t="shared" si="22"/>
        <v>0</v>
      </c>
      <c r="V103" s="555">
        <f t="shared" si="23"/>
        <v>0</v>
      </c>
      <c r="W103" s="555">
        <f t="shared" si="24"/>
        <v>0</v>
      </c>
      <c r="X103" s="554">
        <f t="shared" si="25"/>
        <v>0</v>
      </c>
      <c r="Y103" s="555">
        <f t="shared" si="26"/>
        <v>0</v>
      </c>
      <c r="Z103" s="555">
        <f t="shared" si="27"/>
        <v>0</v>
      </c>
    </row>
    <row r="104" spans="2:26" ht="15">
      <c r="B104" s="59" t="s">
        <v>172</v>
      </c>
      <c r="C104" s="60">
        <f>INDEX(nrBaseLandUseSqFt,20)</f>
        <v>0</v>
      </c>
      <c r="D104" s="60">
        <f t="shared" si="28"/>
        <v>0</v>
      </c>
      <c r="E104" s="474"/>
      <c r="F104" s="60">
        <f t="shared" si="17"/>
        <v>0</v>
      </c>
      <c r="G104" s="85">
        <f t="shared" si="18"/>
        <v>0</v>
      </c>
      <c r="H104" s="85">
        <f t="shared" si="19"/>
        <v>0</v>
      </c>
      <c r="I104" s="60">
        <f t="shared" si="29"/>
        <v>0</v>
      </c>
      <c r="J104" s="474"/>
      <c r="K104" s="60">
        <f t="shared" si="20"/>
        <v>0</v>
      </c>
      <c r="L104" s="276">
        <f t="shared" si="21"/>
        <v>0</v>
      </c>
      <c r="M104" s="276">
        <f t="shared" si="16"/>
        <v>0</v>
      </c>
      <c r="N104" s="31"/>
      <c r="R104" s="552"/>
      <c r="S104" s="553"/>
      <c r="T104" s="558"/>
      <c r="U104" s="554">
        <f t="shared" si="22"/>
        <v>0</v>
      </c>
      <c r="V104" s="555">
        <f t="shared" si="23"/>
        <v>0</v>
      </c>
      <c r="W104" s="555">
        <f t="shared" si="24"/>
        <v>0</v>
      </c>
      <c r="X104" s="554">
        <f t="shared" si="25"/>
        <v>0</v>
      </c>
      <c r="Y104" s="555">
        <f t="shared" si="26"/>
        <v>0</v>
      </c>
      <c r="Z104" s="555">
        <f t="shared" si="27"/>
        <v>0</v>
      </c>
    </row>
    <row r="105" spans="2:26" ht="15">
      <c r="B105" s="59" t="s">
        <v>168</v>
      </c>
      <c r="C105" s="60">
        <f>INDEX(nrBaseLandUseSqFt,21)</f>
        <v>0</v>
      </c>
      <c r="D105" s="60">
        <f t="shared" si="28"/>
        <v>0</v>
      </c>
      <c r="E105" s="474"/>
      <c r="F105" s="60">
        <f t="shared" si="17"/>
        <v>0</v>
      </c>
      <c r="G105" s="85">
        <f t="shared" si="18"/>
        <v>0</v>
      </c>
      <c r="H105" s="85">
        <f t="shared" si="19"/>
        <v>0</v>
      </c>
      <c r="I105" s="60">
        <f t="shared" si="29"/>
        <v>0</v>
      </c>
      <c r="J105" s="474"/>
      <c r="K105" s="60">
        <f t="shared" si="20"/>
        <v>0</v>
      </c>
      <c r="L105" s="276">
        <f t="shared" si="21"/>
        <v>0</v>
      </c>
      <c r="M105" s="276">
        <f t="shared" si="16"/>
        <v>0</v>
      </c>
      <c r="N105" s="31"/>
      <c r="R105" s="552"/>
      <c r="S105" s="553"/>
      <c r="T105" s="558"/>
      <c r="U105" s="554">
        <f t="shared" si="22"/>
        <v>0</v>
      </c>
      <c r="V105" s="555">
        <f t="shared" si="23"/>
        <v>0</v>
      </c>
      <c r="W105" s="555">
        <f t="shared" si="24"/>
        <v>0</v>
      </c>
      <c r="X105" s="554">
        <f t="shared" si="25"/>
        <v>0</v>
      </c>
      <c r="Y105" s="555">
        <f t="shared" si="26"/>
        <v>0</v>
      </c>
      <c r="Z105" s="555">
        <f t="shared" si="27"/>
        <v>0</v>
      </c>
    </row>
    <row r="106" spans="2:26" ht="15">
      <c r="B106" s="59" t="s">
        <v>166</v>
      </c>
      <c r="C106" s="60">
        <f>INDEX(nrBaseLandUseSqFt,22)</f>
        <v>0</v>
      </c>
      <c r="D106" s="60">
        <f t="shared" si="28"/>
        <v>0</v>
      </c>
      <c r="E106" s="474"/>
      <c r="F106" s="60">
        <f t="shared" si="17"/>
        <v>0</v>
      </c>
      <c r="G106" s="85">
        <f t="shared" si="18"/>
        <v>0</v>
      </c>
      <c r="H106" s="85">
        <f t="shared" si="19"/>
        <v>0</v>
      </c>
      <c r="I106" s="60">
        <f t="shared" si="29"/>
        <v>0</v>
      </c>
      <c r="J106" s="474"/>
      <c r="K106" s="60">
        <f t="shared" si="20"/>
        <v>0</v>
      </c>
      <c r="L106" s="276">
        <f t="shared" si="21"/>
        <v>0</v>
      </c>
      <c r="M106" s="276">
        <f t="shared" si="16"/>
        <v>0</v>
      </c>
      <c r="N106" s="31"/>
      <c r="R106" s="552"/>
      <c r="S106" s="553"/>
      <c r="T106" s="558"/>
      <c r="U106" s="554">
        <f t="shared" si="22"/>
        <v>0</v>
      </c>
      <c r="V106" s="555">
        <f t="shared" si="23"/>
        <v>0</v>
      </c>
      <c r="W106" s="555">
        <f t="shared" si="24"/>
        <v>0</v>
      </c>
      <c r="X106" s="554">
        <f t="shared" si="25"/>
        <v>0</v>
      </c>
      <c r="Y106" s="555">
        <f t="shared" si="26"/>
        <v>0</v>
      </c>
      <c r="Z106" s="555">
        <f t="shared" si="27"/>
        <v>0</v>
      </c>
    </row>
    <row r="107" spans="2:26" ht="15">
      <c r="B107" s="59" t="s">
        <v>164</v>
      </c>
      <c r="C107" s="60">
        <f>INDEX(nrBaseLandUseSqFt,23)</f>
        <v>0</v>
      </c>
      <c r="D107" s="60">
        <f t="shared" si="28"/>
        <v>0</v>
      </c>
      <c r="E107" s="474"/>
      <c r="F107" s="60">
        <f t="shared" si="17"/>
        <v>0</v>
      </c>
      <c r="G107" s="85">
        <f t="shared" si="18"/>
        <v>0</v>
      </c>
      <c r="H107" s="85">
        <f t="shared" si="19"/>
        <v>0</v>
      </c>
      <c r="I107" s="60">
        <f t="shared" si="29"/>
        <v>0</v>
      </c>
      <c r="J107" s="474"/>
      <c r="K107" s="60">
        <f t="shared" si="20"/>
        <v>0</v>
      </c>
      <c r="L107" s="276">
        <f t="shared" si="21"/>
        <v>0</v>
      </c>
      <c r="M107" s="276">
        <f t="shared" si="16"/>
        <v>0</v>
      </c>
      <c r="N107" s="31"/>
      <c r="R107" s="552"/>
      <c r="S107" s="553"/>
      <c r="T107" s="558"/>
      <c r="U107" s="554">
        <f t="shared" si="22"/>
        <v>0</v>
      </c>
      <c r="V107" s="555">
        <f t="shared" si="23"/>
        <v>0</v>
      </c>
      <c r="W107" s="555">
        <f t="shared" si="24"/>
        <v>0</v>
      </c>
      <c r="X107" s="554">
        <f t="shared" si="25"/>
        <v>0</v>
      </c>
      <c r="Y107" s="555">
        <f t="shared" si="26"/>
        <v>0</v>
      </c>
      <c r="Z107" s="555">
        <f t="shared" si="27"/>
        <v>0</v>
      </c>
    </row>
    <row r="108" spans="2:26" ht="15">
      <c r="B108" s="59" t="s">
        <v>163</v>
      </c>
      <c r="C108" s="60">
        <f>INDEX(nrBaseLandUseSqFt,24)</f>
        <v>0</v>
      </c>
      <c r="D108" s="60">
        <f t="shared" si="28"/>
        <v>0</v>
      </c>
      <c r="E108" s="474"/>
      <c r="F108" s="60">
        <f t="shared" si="17"/>
        <v>0</v>
      </c>
      <c r="G108" s="85">
        <f t="shared" si="18"/>
        <v>0</v>
      </c>
      <c r="H108" s="85">
        <f t="shared" si="19"/>
        <v>0</v>
      </c>
      <c r="I108" s="60">
        <f t="shared" si="29"/>
        <v>0</v>
      </c>
      <c r="J108" s="474"/>
      <c r="K108" s="60">
        <f t="shared" si="20"/>
        <v>0</v>
      </c>
      <c r="L108" s="276">
        <f t="shared" si="21"/>
        <v>0</v>
      </c>
      <c r="M108" s="276">
        <f t="shared" si="16"/>
        <v>0</v>
      </c>
      <c r="N108" s="31"/>
      <c r="R108" s="552"/>
      <c r="S108" s="553"/>
      <c r="T108" s="558"/>
      <c r="U108" s="554">
        <f t="shared" si="22"/>
        <v>0</v>
      </c>
      <c r="V108" s="555">
        <f t="shared" si="23"/>
        <v>0</v>
      </c>
      <c r="W108" s="555">
        <f t="shared" si="24"/>
        <v>0</v>
      </c>
      <c r="X108" s="554">
        <f t="shared" si="25"/>
        <v>0</v>
      </c>
      <c r="Y108" s="555">
        <f t="shared" si="26"/>
        <v>0</v>
      </c>
      <c r="Z108" s="555">
        <f t="shared" si="27"/>
        <v>0</v>
      </c>
    </row>
    <row r="109" spans="2:26" ht="15">
      <c r="B109" s="59" t="s">
        <v>162</v>
      </c>
      <c r="C109" s="60">
        <f>INDEX(nrBaseLandUseSqFt,25)</f>
        <v>0</v>
      </c>
      <c r="D109" s="60">
        <f t="shared" si="28"/>
        <v>0</v>
      </c>
      <c r="E109" s="474"/>
      <c r="F109" s="60">
        <f t="shared" si="17"/>
        <v>0</v>
      </c>
      <c r="G109" s="85">
        <f t="shared" si="18"/>
        <v>0</v>
      </c>
      <c r="H109" s="85">
        <f t="shared" si="19"/>
        <v>0</v>
      </c>
      <c r="I109" s="60">
        <f t="shared" si="29"/>
        <v>0</v>
      </c>
      <c r="J109" s="474"/>
      <c r="K109" s="60">
        <f t="shared" si="20"/>
        <v>0</v>
      </c>
      <c r="L109" s="276">
        <f t="shared" si="21"/>
        <v>0</v>
      </c>
      <c r="M109" s="276">
        <f t="shared" si="16"/>
        <v>0</v>
      </c>
      <c r="N109" s="31"/>
      <c r="R109" s="552"/>
      <c r="S109" s="553"/>
      <c r="T109" s="558"/>
      <c r="U109" s="554">
        <f t="shared" si="22"/>
        <v>0</v>
      </c>
      <c r="V109" s="555">
        <f t="shared" si="23"/>
        <v>0</v>
      </c>
      <c r="W109" s="555">
        <f t="shared" si="24"/>
        <v>0</v>
      </c>
      <c r="X109" s="554">
        <f t="shared" si="25"/>
        <v>0</v>
      </c>
      <c r="Y109" s="555">
        <f t="shared" si="26"/>
        <v>0</v>
      </c>
      <c r="Z109" s="555">
        <f t="shared" si="27"/>
        <v>0</v>
      </c>
    </row>
    <row r="110" spans="2:26" ht="15">
      <c r="B110" s="59" t="s">
        <v>161</v>
      </c>
      <c r="C110" s="60">
        <f>INDEX(nrBaseLandUseSqFt,26)</f>
        <v>0</v>
      </c>
      <c r="D110" s="60">
        <f>IF(nrClimateZone=4,$C110*$C$145,$C110*$E$145)</f>
        <v>0</v>
      </c>
      <c r="E110" s="474"/>
      <c r="F110" s="60">
        <f t="shared" si="17"/>
        <v>0</v>
      </c>
      <c r="G110" s="85">
        <f t="shared" si="18"/>
        <v>0</v>
      </c>
      <c r="H110" s="85">
        <f t="shared" si="19"/>
        <v>0</v>
      </c>
      <c r="I110" s="60">
        <f>IF(nrClimateZone=4,$C110*$D$145*1000,$C110*$F$145*1000)</f>
        <v>0</v>
      </c>
      <c r="J110" s="474"/>
      <c r="K110" s="60">
        <f t="shared" si="20"/>
        <v>0</v>
      </c>
      <c r="L110" s="276">
        <f t="shared" si="21"/>
        <v>0</v>
      </c>
      <c r="M110" s="276">
        <f t="shared" si="16"/>
        <v>0</v>
      </c>
      <c r="N110" s="31"/>
      <c r="R110" s="552"/>
      <c r="S110" s="553"/>
      <c r="T110" s="558"/>
      <c r="U110" s="554">
        <f t="shared" si="22"/>
        <v>0</v>
      </c>
      <c r="V110" s="555">
        <f t="shared" si="23"/>
        <v>0</v>
      </c>
      <c r="W110" s="555">
        <f t="shared" si="24"/>
        <v>0</v>
      </c>
      <c r="X110" s="554">
        <f t="shared" si="25"/>
        <v>0</v>
      </c>
      <c r="Y110" s="555">
        <f t="shared" si="26"/>
        <v>0</v>
      </c>
      <c r="Z110" s="555">
        <f t="shared" si="27"/>
        <v>0</v>
      </c>
    </row>
    <row r="111" spans="2:26" ht="15">
      <c r="B111" s="59" t="s">
        <v>160</v>
      </c>
      <c r="C111" s="60">
        <f>INDEX(nrBaseLandUseSqFt,27)</f>
        <v>0</v>
      </c>
      <c r="D111" s="60">
        <f>IF(nrClimateZone=4,$C111*$C$145,$C111*$E$145)</f>
        <v>0</v>
      </c>
      <c r="E111" s="474"/>
      <c r="F111" s="60">
        <f t="shared" si="17"/>
        <v>0</v>
      </c>
      <c r="G111" s="85">
        <f t="shared" si="18"/>
        <v>0</v>
      </c>
      <c r="H111" s="85">
        <f t="shared" si="19"/>
        <v>0</v>
      </c>
      <c r="I111" s="60">
        <f>IF(nrClimateZone=4,$C111*$D$145*1000,$C111*$F$145*1000)</f>
        <v>0</v>
      </c>
      <c r="J111" s="474"/>
      <c r="K111" s="60">
        <f t="shared" si="20"/>
        <v>0</v>
      </c>
      <c r="L111" s="276">
        <f t="shared" si="21"/>
        <v>0</v>
      </c>
      <c r="M111" s="276">
        <f t="shared" si="16"/>
        <v>0</v>
      </c>
      <c r="N111" s="31"/>
      <c r="R111" s="552"/>
      <c r="S111" s="553"/>
      <c r="T111" s="558"/>
      <c r="U111" s="554">
        <f t="shared" si="22"/>
        <v>0</v>
      </c>
      <c r="V111" s="555">
        <f t="shared" si="23"/>
        <v>0</v>
      </c>
      <c r="W111" s="555">
        <f t="shared" si="24"/>
        <v>0</v>
      </c>
      <c r="X111" s="554">
        <f t="shared" si="25"/>
        <v>0</v>
      </c>
      <c r="Y111" s="555">
        <f t="shared" si="26"/>
        <v>0</v>
      </c>
      <c r="Z111" s="555">
        <f t="shared" si="27"/>
        <v>0</v>
      </c>
    </row>
    <row r="112" spans="2:26" ht="15">
      <c r="B112" s="59" t="s">
        <v>159</v>
      </c>
      <c r="C112" s="60">
        <f>INDEX(nrBaseLandUseSqFt,28)</f>
        <v>0</v>
      </c>
      <c r="D112" s="60">
        <f>IF(nrClimateZone=4,$C112*$C$145,$C112*$E$145)</f>
        <v>0</v>
      </c>
      <c r="E112" s="474"/>
      <c r="F112" s="60">
        <f t="shared" si="17"/>
        <v>0</v>
      </c>
      <c r="G112" s="85">
        <f t="shared" si="18"/>
        <v>0</v>
      </c>
      <c r="H112" s="85">
        <f t="shared" si="19"/>
        <v>0</v>
      </c>
      <c r="I112" s="60">
        <f>IF(nrClimateZone=4,$C112*$D$145*1000,$C112*$F$145*1000)</f>
        <v>0</v>
      </c>
      <c r="J112" s="474"/>
      <c r="K112" s="60">
        <f t="shared" si="20"/>
        <v>0</v>
      </c>
      <c r="L112" s="276">
        <f t="shared" si="21"/>
        <v>0</v>
      </c>
      <c r="M112" s="276">
        <f t="shared" si="16"/>
        <v>0</v>
      </c>
      <c r="N112" s="31"/>
      <c r="R112" s="552"/>
      <c r="S112" s="553"/>
      <c r="T112" s="558"/>
      <c r="U112" s="554">
        <f t="shared" si="22"/>
        <v>0</v>
      </c>
      <c r="V112" s="555">
        <f t="shared" si="23"/>
        <v>0</v>
      </c>
      <c r="W112" s="555">
        <f t="shared" si="24"/>
        <v>0</v>
      </c>
      <c r="X112" s="554">
        <f t="shared" si="25"/>
        <v>0</v>
      </c>
      <c r="Y112" s="555">
        <f t="shared" si="26"/>
        <v>0</v>
      </c>
      <c r="Z112" s="555">
        <f t="shared" si="27"/>
        <v>0</v>
      </c>
    </row>
    <row r="113" spans="2:26" ht="15">
      <c r="B113" s="59" t="s">
        <v>158</v>
      </c>
      <c r="C113" s="60">
        <f>INDEX(nrBaseLandUseSqFt,29)</f>
        <v>0</v>
      </c>
      <c r="D113" s="60">
        <f>IF(nrClimateZone=4,$C113*$C$144,$C113*$E$144)</f>
        <v>0</v>
      </c>
      <c r="E113" s="474"/>
      <c r="F113" s="60">
        <f t="shared" si="17"/>
        <v>0</v>
      </c>
      <c r="G113" s="85">
        <f t="shared" si="18"/>
        <v>0</v>
      </c>
      <c r="H113" s="85">
        <f t="shared" si="19"/>
        <v>0</v>
      </c>
      <c r="I113" s="60">
        <f>IF(nrClimateZone=4,$C113*$D$144*1000,$C113*$F$144*1000)</f>
        <v>0</v>
      </c>
      <c r="J113" s="474"/>
      <c r="K113" s="60">
        <f t="shared" si="20"/>
        <v>0</v>
      </c>
      <c r="L113" s="276">
        <f t="shared" si="21"/>
        <v>0</v>
      </c>
      <c r="M113" s="276">
        <f t="shared" si="16"/>
        <v>0</v>
      </c>
      <c r="N113" s="31"/>
      <c r="R113" s="552"/>
      <c r="S113" s="553"/>
      <c r="T113" s="558"/>
      <c r="U113" s="554">
        <f t="shared" si="22"/>
        <v>0</v>
      </c>
      <c r="V113" s="555">
        <f t="shared" si="23"/>
        <v>0</v>
      </c>
      <c r="W113" s="555">
        <f t="shared" si="24"/>
        <v>0</v>
      </c>
      <c r="X113" s="554">
        <f t="shared" si="25"/>
        <v>0</v>
      </c>
      <c r="Y113" s="555">
        <f t="shared" si="26"/>
        <v>0</v>
      </c>
      <c r="Z113" s="555">
        <f t="shared" si="27"/>
        <v>0</v>
      </c>
    </row>
    <row r="114" spans="2:26" ht="15">
      <c r="B114" s="59" t="s">
        <v>157</v>
      </c>
      <c r="C114" s="60">
        <f>INDEX(nrBaseLandUseSqFt,30)</f>
        <v>0</v>
      </c>
      <c r="D114" s="60">
        <f>IF(nrClimateZone=4,$C114*$C$141,$C114*$E$141)</f>
        <v>0</v>
      </c>
      <c r="E114" s="474"/>
      <c r="F114" s="60">
        <f t="shared" si="17"/>
        <v>0</v>
      </c>
      <c r="G114" s="85">
        <f t="shared" si="18"/>
        <v>0</v>
      </c>
      <c r="H114" s="85">
        <f t="shared" si="19"/>
        <v>0</v>
      </c>
      <c r="I114" s="60">
        <f>IF(nrClimateZone=4,$C114*$D$141*1000,$C114*$F$141*1000)</f>
        <v>0</v>
      </c>
      <c r="J114" s="474"/>
      <c r="K114" s="60">
        <f t="shared" si="20"/>
        <v>0</v>
      </c>
      <c r="L114" s="276">
        <f t="shared" si="21"/>
        <v>0</v>
      </c>
      <c r="M114" s="276">
        <f t="shared" si="16"/>
        <v>0</v>
      </c>
      <c r="N114" s="31"/>
      <c r="R114" s="552"/>
      <c r="S114" s="553"/>
      <c r="T114" s="558"/>
      <c r="U114" s="554">
        <f t="shared" si="22"/>
        <v>0</v>
      </c>
      <c r="V114" s="555">
        <f t="shared" si="23"/>
        <v>0</v>
      </c>
      <c r="W114" s="555">
        <f t="shared" si="24"/>
        <v>0</v>
      </c>
      <c r="X114" s="554">
        <f t="shared" si="25"/>
        <v>0</v>
      </c>
      <c r="Y114" s="555">
        <f t="shared" si="26"/>
        <v>0</v>
      </c>
      <c r="Z114" s="555">
        <f t="shared" si="27"/>
        <v>0</v>
      </c>
    </row>
    <row r="115" spans="2:26" ht="15">
      <c r="B115" s="59" t="s">
        <v>156</v>
      </c>
      <c r="C115" s="60">
        <f>INDEX(nrBaseLandUseSqFt,31)</f>
        <v>0</v>
      </c>
      <c r="D115" s="60">
        <f>IF(nrClimateZone=4,$C115*$C$142,$C115*$E$142)</f>
        <v>0</v>
      </c>
      <c r="E115" s="474"/>
      <c r="F115" s="60">
        <f t="shared" si="17"/>
        <v>0</v>
      </c>
      <c r="G115" s="85">
        <f t="shared" si="18"/>
        <v>0</v>
      </c>
      <c r="H115" s="85">
        <f t="shared" si="19"/>
        <v>0</v>
      </c>
      <c r="I115" s="60">
        <f>IF(nrClimateZone=4,$C115*$D$142*1000,$C115*$F$142*1000)</f>
        <v>0</v>
      </c>
      <c r="J115" s="474"/>
      <c r="K115" s="60">
        <f t="shared" si="20"/>
        <v>0</v>
      </c>
      <c r="L115" s="276">
        <f t="shared" si="21"/>
        <v>0</v>
      </c>
      <c r="M115" s="276">
        <f t="shared" si="16"/>
        <v>0</v>
      </c>
      <c r="N115" s="31"/>
      <c r="R115" s="552"/>
      <c r="S115" s="553"/>
      <c r="T115" s="558"/>
      <c r="U115" s="554">
        <f t="shared" si="22"/>
        <v>0</v>
      </c>
      <c r="V115" s="555">
        <f t="shared" si="23"/>
        <v>0</v>
      </c>
      <c r="W115" s="555">
        <f t="shared" si="24"/>
        <v>0</v>
      </c>
      <c r="X115" s="554">
        <f t="shared" si="25"/>
        <v>0</v>
      </c>
      <c r="Y115" s="555">
        <f t="shared" si="26"/>
        <v>0</v>
      </c>
      <c r="Z115" s="555">
        <f t="shared" si="27"/>
        <v>0</v>
      </c>
    </row>
    <row r="116" spans="2:26" ht="15">
      <c r="B116" s="59" t="s">
        <v>155</v>
      </c>
      <c r="C116" s="60">
        <f>INDEX(nrBaseLandUseSqFt,32)</f>
        <v>0</v>
      </c>
      <c r="D116" s="60">
        <f>IF(nrClimateZone=4,$C116*$C$142,$C116*$E$142)</f>
        <v>0</v>
      </c>
      <c r="E116" s="474"/>
      <c r="F116" s="60">
        <f t="shared" si="17"/>
        <v>0</v>
      </c>
      <c r="G116" s="85">
        <f t="shared" si="18"/>
        <v>0</v>
      </c>
      <c r="H116" s="85">
        <f t="shared" si="19"/>
        <v>0</v>
      </c>
      <c r="I116" s="60">
        <f>IF(nrClimateZone=4,$C116*$D$142*1000,$C116*$F$142*1000)</f>
        <v>0</v>
      </c>
      <c r="J116" s="474"/>
      <c r="K116" s="60">
        <f t="shared" si="20"/>
        <v>0</v>
      </c>
      <c r="L116" s="276">
        <f t="shared" si="21"/>
        <v>0</v>
      </c>
      <c r="M116" s="276">
        <f t="shared" si="16"/>
        <v>0</v>
      </c>
      <c r="N116" s="31"/>
      <c r="R116" s="552"/>
      <c r="S116" s="553"/>
      <c r="T116" s="558"/>
      <c r="U116" s="554">
        <f t="shared" si="22"/>
        <v>0</v>
      </c>
      <c r="V116" s="555">
        <f t="shared" si="23"/>
        <v>0</v>
      </c>
      <c r="W116" s="555">
        <f t="shared" si="24"/>
        <v>0</v>
      </c>
      <c r="X116" s="554">
        <f t="shared" si="25"/>
        <v>0</v>
      </c>
      <c r="Y116" s="555">
        <f t="shared" si="26"/>
        <v>0</v>
      </c>
      <c r="Z116" s="555">
        <f t="shared" si="27"/>
        <v>0</v>
      </c>
    </row>
    <row r="117" spans="2:26" ht="15">
      <c r="B117" s="59" t="s">
        <v>154</v>
      </c>
      <c r="C117" s="60">
        <f>INDEX(nrBaseLandUseSqFt,33)</f>
        <v>0</v>
      </c>
      <c r="D117" s="60">
        <f>IF(nrClimateZone=4,$C117*$C$142,$C117*$E$142)</f>
        <v>0</v>
      </c>
      <c r="E117" s="474"/>
      <c r="F117" s="60">
        <f t="shared" si="17"/>
        <v>0</v>
      </c>
      <c r="G117" s="85">
        <f t="shared" si="18"/>
        <v>0</v>
      </c>
      <c r="H117" s="85">
        <f t="shared" si="19"/>
        <v>0</v>
      </c>
      <c r="I117" s="60">
        <f>IF(nrClimateZone=4,$C117*$D$142*1000,$C117*$F$142*1000)</f>
        <v>0</v>
      </c>
      <c r="J117" s="474"/>
      <c r="K117" s="60">
        <f t="shared" si="20"/>
        <v>0</v>
      </c>
      <c r="L117" s="276">
        <f t="shared" si="21"/>
        <v>0</v>
      </c>
      <c r="M117" s="276">
        <f t="shared" si="16"/>
        <v>0</v>
      </c>
      <c r="N117" s="31"/>
      <c r="R117" s="552"/>
      <c r="S117" s="553"/>
      <c r="T117" s="558"/>
      <c r="U117" s="554">
        <f t="shared" si="22"/>
        <v>0</v>
      </c>
      <c r="V117" s="555">
        <f t="shared" si="23"/>
        <v>0</v>
      </c>
      <c r="W117" s="555">
        <f t="shared" si="24"/>
        <v>0</v>
      </c>
      <c r="X117" s="554">
        <f t="shared" si="25"/>
        <v>0</v>
      </c>
      <c r="Y117" s="555">
        <f t="shared" si="26"/>
        <v>0</v>
      </c>
      <c r="Z117" s="555">
        <f t="shared" si="27"/>
        <v>0</v>
      </c>
    </row>
    <row r="118" spans="2:26" ht="15">
      <c r="B118" s="59" t="s">
        <v>153</v>
      </c>
      <c r="C118" s="60">
        <f>INDEX(nrBaseLandUseSqFt,34)</f>
        <v>0</v>
      </c>
      <c r="D118" s="60">
        <f>IF(nrClimateZone=4,$C118*$C$142,$C118*$E$142)</f>
        <v>0</v>
      </c>
      <c r="E118" s="474"/>
      <c r="F118" s="60">
        <f t="shared" si="17"/>
        <v>0</v>
      </c>
      <c r="G118" s="85">
        <f t="shared" si="18"/>
        <v>0</v>
      </c>
      <c r="H118" s="85">
        <f t="shared" si="19"/>
        <v>0</v>
      </c>
      <c r="I118" s="60">
        <f>IF(nrClimateZone=4,$C118*$D$142*1000,$C118*$F$142*1000)</f>
        <v>0</v>
      </c>
      <c r="J118" s="474"/>
      <c r="K118" s="60">
        <f t="shared" si="20"/>
        <v>0</v>
      </c>
      <c r="L118" s="276">
        <f t="shared" si="21"/>
        <v>0</v>
      </c>
      <c r="M118" s="276">
        <f t="shared" si="16"/>
        <v>0</v>
      </c>
      <c r="N118" s="31"/>
      <c r="R118" s="552"/>
      <c r="S118" s="553"/>
      <c r="T118" s="558"/>
      <c r="U118" s="554">
        <f t="shared" si="22"/>
        <v>0</v>
      </c>
      <c r="V118" s="555">
        <f t="shared" si="23"/>
        <v>0</v>
      </c>
      <c r="W118" s="555">
        <f t="shared" si="24"/>
        <v>0</v>
      </c>
      <c r="X118" s="554">
        <f t="shared" si="25"/>
        <v>0</v>
      </c>
      <c r="Y118" s="555">
        <f t="shared" si="26"/>
        <v>0</v>
      </c>
      <c r="Z118" s="555">
        <f t="shared" si="27"/>
        <v>0</v>
      </c>
    </row>
    <row r="119" spans="2:26" ht="15">
      <c r="B119" s="59" t="s">
        <v>152</v>
      </c>
      <c r="C119" s="60">
        <f>INDEX(nrBaseLandUseSqFt,35)</f>
        <v>0</v>
      </c>
      <c r="D119" s="60">
        <f>IF(nrClimateZone=4,$C119*$C$144,$C119*$E$144)</f>
        <v>0</v>
      </c>
      <c r="E119" s="474"/>
      <c r="F119" s="60">
        <f t="shared" si="17"/>
        <v>0</v>
      </c>
      <c r="G119" s="85">
        <f t="shared" si="18"/>
        <v>0</v>
      </c>
      <c r="H119" s="85">
        <f t="shared" si="19"/>
        <v>0</v>
      </c>
      <c r="I119" s="60">
        <f>IF(nrClimateZone=4,$C119*$D$144*1000,$C119*$F$144*1000)</f>
        <v>0</v>
      </c>
      <c r="J119" s="474"/>
      <c r="K119" s="60">
        <f t="shared" si="20"/>
        <v>0</v>
      </c>
      <c r="L119" s="276">
        <f t="shared" si="21"/>
        <v>0</v>
      </c>
      <c r="M119" s="276">
        <f t="shared" si="16"/>
        <v>0</v>
      </c>
      <c r="N119" s="31"/>
      <c r="R119" s="552"/>
      <c r="S119" s="553"/>
      <c r="T119" s="558"/>
      <c r="U119" s="554">
        <f t="shared" si="22"/>
        <v>0</v>
      </c>
      <c r="V119" s="555">
        <f t="shared" si="23"/>
        <v>0</v>
      </c>
      <c r="W119" s="555">
        <f t="shared" si="24"/>
        <v>0</v>
      </c>
      <c r="X119" s="554">
        <f t="shared" si="25"/>
        <v>0</v>
      </c>
      <c r="Y119" s="555">
        <f t="shared" si="26"/>
        <v>0</v>
      </c>
      <c r="Z119" s="555">
        <f t="shared" si="27"/>
        <v>0</v>
      </c>
    </row>
    <row r="120" spans="2:26" ht="15">
      <c r="B120" s="59" t="s">
        <v>151</v>
      </c>
      <c r="C120" s="60">
        <f>INDEX(nrBaseLandUseSqFt,36)</f>
        <v>0</v>
      </c>
      <c r="D120" s="60">
        <f>IF(nrClimateZone=4,$C120*$C$144,$C120*$E$144)</f>
        <v>0</v>
      </c>
      <c r="E120" s="474"/>
      <c r="F120" s="60">
        <f t="shared" si="17"/>
        <v>0</v>
      </c>
      <c r="G120" s="85">
        <f t="shared" si="18"/>
        <v>0</v>
      </c>
      <c r="H120" s="85">
        <f t="shared" si="19"/>
        <v>0</v>
      </c>
      <c r="I120" s="60">
        <f>IF(nrClimateZone=4,$C120*$D$144*1000,$C120*$F$144*1000)</f>
        <v>0</v>
      </c>
      <c r="J120" s="474"/>
      <c r="K120" s="60">
        <f t="shared" si="20"/>
        <v>0</v>
      </c>
      <c r="L120" s="276">
        <f t="shared" si="21"/>
        <v>0</v>
      </c>
      <c r="M120" s="276">
        <f t="shared" si="16"/>
        <v>0</v>
      </c>
      <c r="N120" s="31"/>
      <c r="R120" s="552"/>
      <c r="S120" s="553"/>
      <c r="T120" s="558"/>
      <c r="U120" s="554">
        <f t="shared" si="22"/>
        <v>0</v>
      </c>
      <c r="V120" s="555">
        <f t="shared" si="23"/>
        <v>0</v>
      </c>
      <c r="W120" s="555">
        <f t="shared" si="24"/>
        <v>0</v>
      </c>
      <c r="X120" s="554">
        <f t="shared" si="25"/>
        <v>0</v>
      </c>
      <c r="Y120" s="555">
        <f t="shared" si="26"/>
        <v>0</v>
      </c>
      <c r="Z120" s="555">
        <f t="shared" si="27"/>
        <v>0</v>
      </c>
    </row>
    <row r="121" spans="2:26" ht="15">
      <c r="B121" s="59" t="s">
        <v>150</v>
      </c>
      <c r="C121" s="60">
        <f>INDEX(nrBaseLandUseSqFt,37)</f>
        <v>0</v>
      </c>
      <c r="D121" s="60">
        <f>IF(nrClimateZone=4,$C121*$C$150,$C121*$E$150)</f>
        <v>0</v>
      </c>
      <c r="E121" s="474"/>
      <c r="F121" s="60">
        <f t="shared" si="17"/>
        <v>0</v>
      </c>
      <c r="G121" s="85">
        <f t="shared" si="18"/>
        <v>0</v>
      </c>
      <c r="H121" s="85">
        <f t="shared" si="19"/>
        <v>0</v>
      </c>
      <c r="I121" s="60">
        <f>IF(nrClimateZone=4,$C121*$D$150*1000,$C121*$F$150*1000)</f>
        <v>0</v>
      </c>
      <c r="J121" s="474"/>
      <c r="K121" s="60">
        <f t="shared" si="20"/>
        <v>0</v>
      </c>
      <c r="L121" s="276">
        <f t="shared" si="21"/>
        <v>0</v>
      </c>
      <c r="M121" s="276">
        <f t="shared" si="16"/>
        <v>0</v>
      </c>
      <c r="N121" s="31"/>
      <c r="R121" s="552"/>
      <c r="S121" s="553"/>
      <c r="T121" s="558"/>
      <c r="U121" s="554">
        <f t="shared" si="22"/>
        <v>0</v>
      </c>
      <c r="V121" s="555">
        <f t="shared" si="23"/>
        <v>0</v>
      </c>
      <c r="W121" s="555">
        <f t="shared" si="24"/>
        <v>0</v>
      </c>
      <c r="X121" s="554">
        <f t="shared" si="25"/>
        <v>0</v>
      </c>
      <c r="Y121" s="555">
        <f t="shared" si="26"/>
        <v>0</v>
      </c>
      <c r="Z121" s="555">
        <f t="shared" si="27"/>
        <v>0</v>
      </c>
    </row>
    <row r="122" spans="2:26" ht="15">
      <c r="B122" s="59" t="s">
        <v>149</v>
      </c>
      <c r="C122" s="60">
        <f>INDEX(nrBaseLandUseSqFt,38)</f>
        <v>0</v>
      </c>
      <c r="D122" s="60">
        <f>IF(nrClimateZone=4,$C122*$C$150,$C122*$E$150)</f>
        <v>0</v>
      </c>
      <c r="E122" s="474"/>
      <c r="F122" s="60">
        <f t="shared" si="17"/>
        <v>0</v>
      </c>
      <c r="G122" s="85">
        <f t="shared" si="18"/>
        <v>0</v>
      </c>
      <c r="H122" s="85">
        <f t="shared" si="19"/>
        <v>0</v>
      </c>
      <c r="I122" s="60">
        <f>IF(nrClimateZone=4,$C122*$D$150*1000,$C122*$F$150*1000)</f>
        <v>0</v>
      </c>
      <c r="J122" s="474"/>
      <c r="K122" s="60">
        <f t="shared" si="20"/>
        <v>0</v>
      </c>
      <c r="L122" s="276">
        <f t="shared" si="21"/>
        <v>0</v>
      </c>
      <c r="M122" s="276">
        <f t="shared" si="16"/>
        <v>0</v>
      </c>
      <c r="N122" s="31"/>
      <c r="R122" s="552"/>
      <c r="S122" s="553"/>
      <c r="T122" s="558"/>
      <c r="U122" s="554">
        <f t="shared" si="22"/>
        <v>0</v>
      </c>
      <c r="V122" s="555">
        <f t="shared" si="23"/>
        <v>0</v>
      </c>
      <c r="W122" s="555">
        <f t="shared" si="24"/>
        <v>0</v>
      </c>
      <c r="X122" s="554">
        <f t="shared" si="25"/>
        <v>0</v>
      </c>
      <c r="Y122" s="555">
        <f t="shared" si="26"/>
        <v>0</v>
      </c>
      <c r="Z122" s="555">
        <f t="shared" si="27"/>
        <v>0</v>
      </c>
    </row>
    <row r="123" spans="2:26" ht="15">
      <c r="B123" s="59" t="s">
        <v>148</v>
      </c>
      <c r="C123" s="60">
        <f>INDEX(nrBaseLandUseSqFt,39)</f>
        <v>0</v>
      </c>
      <c r="D123" s="60">
        <f>IF(nrClimateZone=4,$C123*$C$154,$C123*$E$154)</f>
        <v>0</v>
      </c>
      <c r="E123" s="474"/>
      <c r="F123" s="60">
        <f t="shared" si="17"/>
        <v>0</v>
      </c>
      <c r="G123" s="85">
        <f t="shared" si="18"/>
        <v>0</v>
      </c>
      <c r="H123" s="85">
        <f t="shared" si="19"/>
        <v>0</v>
      </c>
      <c r="I123" s="60">
        <f>IF(nrClimateZone=4,$C123*$D$154*1000,$C123*$F$154*1000)</f>
        <v>0</v>
      </c>
      <c r="J123" s="474"/>
      <c r="K123" s="60">
        <f t="shared" si="20"/>
        <v>0</v>
      </c>
      <c r="L123" s="276">
        <f t="shared" si="21"/>
        <v>0</v>
      </c>
      <c r="M123" s="276">
        <f t="shared" si="16"/>
        <v>0</v>
      </c>
      <c r="N123" s="31"/>
      <c r="R123" s="552"/>
      <c r="S123" s="553"/>
      <c r="T123" s="558"/>
      <c r="U123" s="554">
        <f t="shared" si="22"/>
        <v>0</v>
      </c>
      <c r="V123" s="555">
        <f t="shared" si="23"/>
        <v>0</v>
      </c>
      <c r="W123" s="555">
        <f t="shared" si="24"/>
        <v>0</v>
      </c>
      <c r="X123" s="554">
        <f t="shared" si="25"/>
        <v>0</v>
      </c>
      <c r="Y123" s="555">
        <f t="shared" si="26"/>
        <v>0</v>
      </c>
      <c r="Z123" s="555">
        <f t="shared" si="27"/>
        <v>0</v>
      </c>
    </row>
    <row r="124" spans="2:26" ht="15">
      <c r="B124" s="59" t="s">
        <v>147</v>
      </c>
      <c r="C124" s="60">
        <f>INDEX(nrBaseLandUseSqFt,40)</f>
        <v>0</v>
      </c>
      <c r="D124" s="60">
        <f>IF(nrClimateZone=4,$C124*$C$154,$C124*$E$154)</f>
        <v>0</v>
      </c>
      <c r="E124" s="474"/>
      <c r="F124" s="60">
        <f t="shared" si="17"/>
        <v>0</v>
      </c>
      <c r="G124" s="85">
        <f t="shared" si="18"/>
        <v>0</v>
      </c>
      <c r="H124" s="85">
        <f t="shared" si="19"/>
        <v>0</v>
      </c>
      <c r="I124" s="60">
        <f>IF(nrClimateZone=4,$C124*$D$154*1000,$C124*$F$154*1000)</f>
        <v>0</v>
      </c>
      <c r="J124" s="474"/>
      <c r="K124" s="60">
        <f t="shared" si="20"/>
        <v>0</v>
      </c>
      <c r="L124" s="276">
        <f t="shared" si="21"/>
        <v>0</v>
      </c>
      <c r="M124" s="276">
        <f t="shared" si="16"/>
        <v>0</v>
      </c>
      <c r="N124" s="31"/>
      <c r="R124" s="552"/>
      <c r="S124" s="553"/>
      <c r="T124" s="558"/>
      <c r="U124" s="554">
        <f t="shared" si="22"/>
        <v>0</v>
      </c>
      <c r="V124" s="555">
        <f t="shared" si="23"/>
        <v>0</v>
      </c>
      <c r="W124" s="555">
        <f t="shared" si="24"/>
        <v>0</v>
      </c>
      <c r="X124" s="554">
        <f t="shared" si="25"/>
        <v>0</v>
      </c>
      <c r="Y124" s="555">
        <f t="shared" si="26"/>
        <v>0</v>
      </c>
      <c r="Z124" s="555">
        <f t="shared" si="27"/>
        <v>0</v>
      </c>
    </row>
    <row r="125" spans="2:26" ht="15">
      <c r="B125" s="59" t="s">
        <v>146</v>
      </c>
      <c r="C125" s="60">
        <f>INDEX(nrBaseLandUseSqFt,41)</f>
        <v>0</v>
      </c>
      <c r="D125" s="60">
        <f>IF(nrClimateZone=4,$C125*$C$154,$C125*$E$154)</f>
        <v>0</v>
      </c>
      <c r="E125" s="474"/>
      <c r="F125" s="60">
        <f t="shared" si="17"/>
        <v>0</v>
      </c>
      <c r="G125" s="85">
        <f t="shared" si="18"/>
        <v>0</v>
      </c>
      <c r="H125" s="85">
        <f t="shared" si="19"/>
        <v>0</v>
      </c>
      <c r="I125" s="60">
        <f>IF(nrClimateZone=4,$C125*$D$154*1000,$C125*$F$154*1000)</f>
        <v>0</v>
      </c>
      <c r="J125" s="474"/>
      <c r="K125" s="60">
        <f t="shared" si="20"/>
        <v>0</v>
      </c>
      <c r="L125" s="276">
        <f t="shared" si="21"/>
        <v>0</v>
      </c>
      <c r="M125" s="276">
        <f t="shared" si="16"/>
        <v>0</v>
      </c>
      <c r="N125" s="31"/>
      <c r="R125" s="552"/>
      <c r="S125" s="553"/>
      <c r="T125" s="558"/>
      <c r="U125" s="554">
        <f t="shared" si="22"/>
        <v>0</v>
      </c>
      <c r="V125" s="555">
        <f t="shared" si="23"/>
        <v>0</v>
      </c>
      <c r="W125" s="555">
        <f t="shared" si="24"/>
        <v>0</v>
      </c>
      <c r="X125" s="554">
        <f t="shared" si="25"/>
        <v>0</v>
      </c>
      <c r="Y125" s="555">
        <f t="shared" si="26"/>
        <v>0</v>
      </c>
      <c r="Z125" s="555">
        <f t="shared" si="27"/>
        <v>0</v>
      </c>
    </row>
    <row r="126" spans="2:26" ht="15">
      <c r="B126" s="59" t="s">
        <v>145</v>
      </c>
      <c r="C126" s="60">
        <f>INDEX(nrBaseLandUseSqFt,42)</f>
        <v>0</v>
      </c>
      <c r="D126" s="60">
        <f>IF(nrClimateZone=4,$C126*$C$154,$C126*$E$154)</f>
        <v>0</v>
      </c>
      <c r="E126" s="474"/>
      <c r="F126" s="60">
        <f t="shared" si="17"/>
        <v>0</v>
      </c>
      <c r="G126" s="85">
        <f t="shared" si="18"/>
        <v>0</v>
      </c>
      <c r="H126" s="85">
        <f t="shared" si="19"/>
        <v>0</v>
      </c>
      <c r="I126" s="60">
        <f>IF(nrClimateZone=4,$C126*$D$154*1000,$C126*$F$154*1000)</f>
        <v>0</v>
      </c>
      <c r="J126" s="474"/>
      <c r="K126" s="60">
        <f t="shared" si="20"/>
        <v>0</v>
      </c>
      <c r="L126" s="276">
        <f t="shared" si="21"/>
        <v>0</v>
      </c>
      <c r="M126" s="276">
        <f t="shared" si="16"/>
        <v>0</v>
      </c>
      <c r="N126" s="31"/>
      <c r="R126" s="552"/>
      <c r="S126" s="553"/>
      <c r="T126" s="558"/>
      <c r="U126" s="554">
        <f t="shared" si="22"/>
        <v>0</v>
      </c>
      <c r="V126" s="555">
        <f t="shared" si="23"/>
        <v>0</v>
      </c>
      <c r="W126" s="555">
        <f t="shared" si="24"/>
        <v>0</v>
      </c>
      <c r="X126" s="554">
        <f t="shared" si="25"/>
        <v>0</v>
      </c>
      <c r="Y126" s="555">
        <f t="shared" si="26"/>
        <v>0</v>
      </c>
      <c r="Z126" s="555">
        <f t="shared" si="27"/>
        <v>0</v>
      </c>
    </row>
    <row r="127" spans="2:26" ht="15">
      <c r="B127" s="59" t="s">
        <v>144</v>
      </c>
      <c r="C127" s="60">
        <f>INDEX(nrBaseLandUseSqFt,43)</f>
        <v>0</v>
      </c>
      <c r="D127" s="60">
        <f>IF(nrClimateZone=4,$C127*$C$154,$C127*$E$154)</f>
        <v>0</v>
      </c>
      <c r="E127" s="474"/>
      <c r="F127" s="60">
        <f t="shared" si="17"/>
        <v>0</v>
      </c>
      <c r="G127" s="85">
        <f t="shared" si="18"/>
        <v>0</v>
      </c>
      <c r="H127" s="85">
        <f t="shared" si="19"/>
        <v>0</v>
      </c>
      <c r="I127" s="60">
        <f>IF(nrClimateZone=4,$C127*$D$154*1000,$C127*$F$154*1000)</f>
        <v>0</v>
      </c>
      <c r="J127" s="474"/>
      <c r="K127" s="60">
        <f t="shared" si="20"/>
        <v>0</v>
      </c>
      <c r="L127" s="276">
        <f t="shared" si="21"/>
        <v>0</v>
      </c>
      <c r="M127" s="276">
        <f t="shared" si="16"/>
        <v>0</v>
      </c>
      <c r="N127" s="31"/>
      <c r="R127" s="552"/>
      <c r="S127" s="553"/>
      <c r="T127" s="558"/>
      <c r="U127" s="554">
        <f t="shared" si="22"/>
        <v>0</v>
      </c>
      <c r="V127" s="555">
        <f t="shared" si="23"/>
        <v>0</v>
      </c>
      <c r="W127" s="555">
        <f t="shared" si="24"/>
        <v>0</v>
      </c>
      <c r="X127" s="554">
        <f t="shared" si="25"/>
        <v>0</v>
      </c>
      <c r="Y127" s="555">
        <f t="shared" si="26"/>
        <v>0</v>
      </c>
      <c r="Z127" s="555">
        <f t="shared" si="27"/>
        <v>0</v>
      </c>
    </row>
    <row r="128" spans="3:14" ht="15">
      <c r="C128" s="31"/>
      <c r="D128" s="31"/>
      <c r="E128" s="31"/>
      <c r="F128" s="31"/>
      <c r="G128" s="31"/>
      <c r="H128" s="31"/>
      <c r="I128" s="31"/>
      <c r="J128" s="31"/>
      <c r="K128" s="31"/>
      <c r="L128" s="31"/>
      <c r="M128" s="31"/>
      <c r="N128" s="31"/>
    </row>
    <row r="129" spans="3:14" ht="15">
      <c r="C129" s="31"/>
      <c r="D129" s="31"/>
      <c r="E129" s="31"/>
      <c r="F129" s="31"/>
      <c r="G129" s="31"/>
      <c r="H129" s="31"/>
      <c r="I129" s="31"/>
      <c r="J129" s="31"/>
      <c r="K129" s="31"/>
      <c r="L129" s="31"/>
      <c r="M129" s="31"/>
      <c r="N129" s="31"/>
    </row>
    <row r="130" spans="2:14" ht="15">
      <c r="B130"/>
      <c r="C130" s="593" t="s">
        <v>171</v>
      </c>
      <c r="D130" s="593"/>
      <c r="E130" s="593"/>
      <c r="F130" s="253"/>
      <c r="G130" s="253"/>
      <c r="H130" s="253"/>
      <c r="I130" s="253"/>
      <c r="J130" s="31"/>
      <c r="K130" s="31"/>
      <c r="L130" s="31"/>
      <c r="M130" s="31"/>
      <c r="N130" s="31"/>
    </row>
    <row r="131" spans="2:14" ht="15">
      <c r="B131" s="189"/>
      <c r="C131" s="190" t="s">
        <v>21</v>
      </c>
      <c r="D131" s="190" t="s">
        <v>170</v>
      </c>
      <c r="E131" s="190" t="s">
        <v>169</v>
      </c>
      <c r="F131" s="253"/>
      <c r="G131" s="253"/>
      <c r="H131" s="253"/>
      <c r="I131" s="253"/>
      <c r="J131" s="31"/>
      <c r="K131" s="31"/>
      <c r="L131" s="31"/>
      <c r="M131" s="31"/>
      <c r="N131" s="31"/>
    </row>
    <row r="132" spans="2:14" ht="15">
      <c r="B132" s="189" t="s">
        <v>8</v>
      </c>
      <c r="C132" s="191">
        <v>804.54</v>
      </c>
      <c r="D132" s="191">
        <v>0.0067</v>
      </c>
      <c r="E132" s="191">
        <v>0.0037</v>
      </c>
      <c r="F132" s="590" t="s">
        <v>301</v>
      </c>
      <c r="G132" s="591"/>
      <c r="H132" s="591"/>
      <c r="I132" s="591"/>
      <c r="J132" s="31"/>
      <c r="K132" s="31"/>
      <c r="L132" s="31"/>
      <c r="M132" s="31"/>
      <c r="N132" s="31"/>
    </row>
    <row r="133" spans="2:14" ht="15">
      <c r="B133" s="189" t="s">
        <v>63</v>
      </c>
      <c r="C133" s="191" t="s">
        <v>302</v>
      </c>
      <c r="D133" s="191" t="s">
        <v>303</v>
      </c>
      <c r="E133" s="191" t="s">
        <v>304</v>
      </c>
      <c r="F133" s="590"/>
      <c r="G133" s="591"/>
      <c r="H133" s="591"/>
      <c r="I133" s="591"/>
      <c r="J133" s="31"/>
      <c r="K133" s="31"/>
      <c r="L133" s="31"/>
      <c r="M133" s="31"/>
      <c r="N133" s="31"/>
    </row>
    <row r="134" spans="2:14" ht="15">
      <c r="B134" s="189" t="s">
        <v>292</v>
      </c>
      <c r="C134" s="191">
        <v>53.06</v>
      </c>
      <c r="D134" s="191">
        <v>0.005</v>
      </c>
      <c r="E134" s="191">
        <v>0.0001</v>
      </c>
      <c r="F134" s="590" t="s">
        <v>301</v>
      </c>
      <c r="G134" s="591"/>
      <c r="H134" s="591"/>
      <c r="I134" s="591"/>
      <c r="J134" s="31"/>
      <c r="K134" s="31"/>
      <c r="L134" s="31"/>
      <c r="M134" s="31"/>
      <c r="N134" s="31"/>
    </row>
    <row r="135" spans="2:14" ht="15">
      <c r="B135" s="189" t="s">
        <v>63</v>
      </c>
      <c r="C135" s="191" t="s">
        <v>305</v>
      </c>
      <c r="D135" s="191" t="s">
        <v>306</v>
      </c>
      <c r="E135" s="191" t="s">
        <v>307</v>
      </c>
      <c r="F135" s="590"/>
      <c r="G135" s="591"/>
      <c r="H135" s="591"/>
      <c r="I135" s="591"/>
      <c r="J135" s="31"/>
      <c r="K135" s="31"/>
      <c r="L135" s="31"/>
      <c r="M135" s="31"/>
      <c r="N135" s="31"/>
    </row>
    <row r="136" spans="3:14" ht="15">
      <c r="C136" s="31"/>
      <c r="D136" s="31"/>
      <c r="E136" s="31"/>
      <c r="F136" s="31"/>
      <c r="G136" s="31"/>
      <c r="H136" s="31"/>
      <c r="I136" s="31"/>
      <c r="J136" s="31"/>
      <c r="K136" s="31"/>
      <c r="L136" s="31"/>
      <c r="M136" s="31"/>
      <c r="N136" s="31"/>
    </row>
    <row r="137" spans="2:14" ht="15">
      <c r="B137" s="19"/>
      <c r="C137" s="592"/>
      <c r="D137" s="592"/>
      <c r="E137" s="91"/>
      <c r="F137" s="91"/>
      <c r="G137" s="31"/>
      <c r="H137" s="31"/>
      <c r="I137" s="31"/>
      <c r="J137" s="31"/>
      <c r="K137" s="31"/>
      <c r="L137" s="31"/>
      <c r="M137" s="31"/>
      <c r="N137" s="31"/>
    </row>
    <row r="138" spans="2:14" ht="30">
      <c r="B138" s="192" t="s">
        <v>291</v>
      </c>
      <c r="C138" s="193" t="s">
        <v>308</v>
      </c>
      <c r="D138" s="193"/>
      <c r="E138" s="193" t="s">
        <v>309</v>
      </c>
      <c r="F138" s="193"/>
      <c r="G138" s="31"/>
      <c r="H138" s="31"/>
      <c r="I138" s="31"/>
      <c r="J138" s="31"/>
      <c r="K138" s="31"/>
      <c r="L138" s="31"/>
      <c r="M138" s="31"/>
      <c r="N138" s="31"/>
    </row>
    <row r="139" spans="2:14" ht="30">
      <c r="B139" s="192"/>
      <c r="C139" s="194" t="s">
        <v>310</v>
      </c>
      <c r="D139" s="195" t="s">
        <v>311</v>
      </c>
      <c r="E139" s="194" t="s">
        <v>310</v>
      </c>
      <c r="F139" s="195" t="s">
        <v>311</v>
      </c>
      <c r="G139" s="31"/>
      <c r="H139" s="31"/>
      <c r="I139" s="31"/>
      <c r="J139" s="31"/>
      <c r="K139" s="31"/>
      <c r="L139" s="31"/>
      <c r="M139" s="31"/>
      <c r="N139" s="31"/>
    </row>
    <row r="140" spans="2:14" ht="15">
      <c r="B140" s="192" t="s">
        <v>312</v>
      </c>
      <c r="C140" s="283">
        <v>13.638426937162876</v>
      </c>
      <c r="D140" s="284">
        <f>29.4893836975098/1000</f>
        <v>0.0294893836975098</v>
      </c>
      <c r="E140" s="283">
        <v>13.186137530952692</v>
      </c>
      <c r="F140" s="284">
        <f>31.6872520446777/1000</f>
        <v>0.0316872520446777</v>
      </c>
      <c r="G140" s="31"/>
      <c r="H140" s="31"/>
      <c r="I140" s="31"/>
      <c r="J140" s="31"/>
      <c r="K140" s="31"/>
      <c r="L140" s="31"/>
      <c r="M140" s="31"/>
      <c r="N140" s="31"/>
    </row>
    <row r="141" spans="2:14" ht="15">
      <c r="B141" s="192" t="s">
        <v>313</v>
      </c>
      <c r="C141" s="283">
        <v>17.370090394280854</v>
      </c>
      <c r="D141" s="284">
        <f>9.7470235824585/1000</f>
        <v>0.0097470235824585</v>
      </c>
      <c r="E141" s="283">
        <v>14.487504527904095</v>
      </c>
      <c r="F141" s="284">
        <f>29.9863185882568/1000</f>
        <v>0.0299863185882568</v>
      </c>
      <c r="G141" s="31"/>
      <c r="H141" s="31"/>
      <c r="I141" s="31"/>
      <c r="J141" s="31"/>
      <c r="K141" s="31"/>
      <c r="L141" s="31"/>
      <c r="M141" s="31"/>
      <c r="N141" s="31"/>
    </row>
    <row r="142" spans="2:14" ht="15">
      <c r="B142" s="192" t="s">
        <v>314</v>
      </c>
      <c r="C142" s="283">
        <v>23.512589171528816</v>
      </c>
      <c r="D142" s="284">
        <f>26.3867855072021/1000</f>
        <v>0.0263867855072021</v>
      </c>
      <c r="E142" s="283">
        <v>15.248723451048136</v>
      </c>
      <c r="F142" s="284">
        <f>23.2830238342285/1000</f>
        <v>0.023283023834228502</v>
      </c>
      <c r="G142" s="31"/>
      <c r="H142" s="31"/>
      <c r="I142" s="31"/>
      <c r="J142" s="31"/>
      <c r="K142" s="31"/>
      <c r="L142" s="31"/>
      <c r="M142" s="31"/>
      <c r="N142" s="31"/>
    </row>
    <row r="143" spans="2:14" ht="15">
      <c r="B143" s="192" t="s">
        <v>315</v>
      </c>
      <c r="C143" s="283">
        <v>35.9729820638895</v>
      </c>
      <c r="D143" s="284">
        <f>212.548217773437/1000</f>
        <v>0.212548217773437</v>
      </c>
      <c r="E143" s="283">
        <v>31.411344489082694</v>
      </c>
      <c r="F143" s="284">
        <f>171.079437255859/1000</f>
        <v>0.171079437255859</v>
      </c>
      <c r="G143" s="31"/>
      <c r="H143" s="31"/>
      <c r="I143" s="31"/>
      <c r="J143" s="31"/>
      <c r="K143" s="31"/>
      <c r="L143" s="31"/>
      <c r="M143" s="31"/>
      <c r="N143" s="31"/>
    </row>
    <row r="144" spans="2:14" ht="15">
      <c r="B144" s="192" t="s">
        <v>316</v>
      </c>
      <c r="C144" s="283">
        <v>12.81643448024988</v>
      </c>
      <c r="D144" s="284">
        <f>3.00629615783691/1000</f>
        <v>0.00300629615783691</v>
      </c>
      <c r="E144" s="283">
        <v>12.647918082773684</v>
      </c>
      <c r="F144" s="284">
        <f>5.51231098175049/1000</f>
        <v>0.00551231098175049</v>
      </c>
      <c r="G144" s="31"/>
      <c r="H144" s="31"/>
      <c r="I144" s="31"/>
      <c r="J144" s="31"/>
      <c r="K144" s="31"/>
      <c r="L144" s="31"/>
      <c r="M144" s="31"/>
      <c r="N144" s="31"/>
    </row>
    <row r="145" spans="2:14" ht="15">
      <c r="B145" s="192" t="s">
        <v>317</v>
      </c>
      <c r="C145" s="283">
        <v>44.34313106350601</v>
      </c>
      <c r="D145" s="284">
        <f>25.7744750976563/1000</f>
        <v>0.0257744750976563</v>
      </c>
      <c r="E145" s="283">
        <v>40.25550251454115</v>
      </c>
      <c r="F145" s="284">
        <f>41.3509330749511/1000</f>
        <v>0.0413509330749511</v>
      </c>
      <c r="G145" s="31"/>
      <c r="H145" s="31"/>
      <c r="I145" s="31"/>
      <c r="J145" s="31"/>
      <c r="K145" s="31"/>
      <c r="L145" s="31"/>
      <c r="M145" s="31"/>
      <c r="N145" s="31"/>
    </row>
    <row r="146" spans="2:14" ht="15">
      <c r="B146" s="192" t="s">
        <v>318</v>
      </c>
      <c r="C146" s="283">
        <v>10.124252010136843</v>
      </c>
      <c r="D146" s="284">
        <f>3.88065433502197/1000</f>
        <v>0.00388065433502197</v>
      </c>
      <c r="E146" s="283">
        <v>24.855076759122312</v>
      </c>
      <c r="F146" s="284">
        <f>18.687515258789/1000</f>
        <v>0.018687515258789</v>
      </c>
      <c r="G146" s="31"/>
      <c r="H146" s="31"/>
      <c r="I146" s="31"/>
      <c r="J146" s="31"/>
      <c r="K146" s="31"/>
      <c r="L146" s="31"/>
      <c r="M146" s="31"/>
      <c r="N146" s="31"/>
    </row>
    <row r="147" spans="2:14" ht="15">
      <c r="B147" s="192" t="s">
        <v>319</v>
      </c>
      <c r="C147" s="283">
        <v>4.2604615483433</v>
      </c>
      <c r="D147" s="284">
        <f>4.39921474456787/1000</f>
        <v>0.00439921474456787</v>
      </c>
      <c r="E147" s="283">
        <v>4.557833652943373</v>
      </c>
      <c r="F147" s="284">
        <f>1.69078183174133/1000</f>
        <v>0.0016907818317413298</v>
      </c>
      <c r="G147" s="31"/>
      <c r="H147" s="31"/>
      <c r="I147" s="31"/>
      <c r="J147" s="31"/>
      <c r="K147" s="31"/>
      <c r="L147" s="31"/>
      <c r="M147" s="31"/>
      <c r="N147" s="31"/>
    </row>
    <row r="148" spans="2:14" ht="15">
      <c r="B148" s="192" t="s">
        <v>320</v>
      </c>
      <c r="C148" s="283">
        <v>6.654780089855194</v>
      </c>
      <c r="D148" s="284">
        <f>22.7133693695068/1000</f>
        <v>0.0227133693695068</v>
      </c>
      <c r="E148" s="283">
        <v>5.505479031126015</v>
      </c>
      <c r="F148" s="284">
        <f>19.5797595977783/1000</f>
        <v>0.019579759597778298</v>
      </c>
      <c r="G148" s="31"/>
      <c r="H148" s="31"/>
      <c r="I148" s="31"/>
      <c r="J148" s="31"/>
      <c r="K148" s="31"/>
      <c r="L148" s="31"/>
      <c r="M148" s="31"/>
      <c r="N148" s="31"/>
    </row>
    <row r="149" spans="2:14" ht="15">
      <c r="B149" s="192" t="s">
        <v>321</v>
      </c>
      <c r="C149" s="283">
        <v>9.752491148654372</v>
      </c>
      <c r="D149" s="284">
        <f>27.5397472381592/1000</f>
        <v>0.0275397472381592</v>
      </c>
      <c r="E149" s="283">
        <v>12.704529017210007</v>
      </c>
      <c r="F149" s="284">
        <f>41.8488845825195/1000</f>
        <v>0.0418488845825195</v>
      </c>
      <c r="G149" s="31"/>
      <c r="H149" s="31"/>
      <c r="I149" s="31"/>
      <c r="J149" s="31"/>
      <c r="K149" s="31"/>
      <c r="L149" s="31"/>
      <c r="M149" s="31"/>
      <c r="N149" s="31"/>
    </row>
    <row r="150" spans="2:14" ht="15">
      <c r="B150" s="192" t="s">
        <v>322</v>
      </c>
      <c r="C150" s="283">
        <v>23.028210796415806</v>
      </c>
      <c r="D150" s="284">
        <f>118.713920593261/1000</f>
        <v>0.118713920593261</v>
      </c>
      <c r="E150" s="283">
        <v>18.40449095144868</v>
      </c>
      <c r="F150" s="284">
        <f>110.734214782715/1000</f>
        <v>0.110734214782715</v>
      </c>
      <c r="G150" s="31"/>
      <c r="H150" s="31"/>
      <c r="I150" s="31"/>
      <c r="J150" s="31"/>
      <c r="K150" s="31"/>
      <c r="L150" s="31"/>
      <c r="M150" s="31"/>
      <c r="N150" s="31"/>
    </row>
    <row r="151" spans="2:14" ht="15">
      <c r="B151" s="192" t="s">
        <v>207</v>
      </c>
      <c r="C151" s="283">
        <v>9.330714862793684</v>
      </c>
      <c r="D151" s="284">
        <f>46.9533081054687/1000</f>
        <v>0.0469533081054687</v>
      </c>
      <c r="E151" s="283">
        <v>10.031207559630275</v>
      </c>
      <c r="F151" s="284">
        <f>39.1497573852539/1000</f>
        <v>0.0391497573852539</v>
      </c>
      <c r="G151" s="31"/>
      <c r="H151" s="31"/>
      <c r="I151" s="31"/>
      <c r="J151" s="31"/>
      <c r="K151" s="31"/>
      <c r="L151" s="31"/>
      <c r="M151" s="31"/>
      <c r="N151" s="31"/>
    </row>
    <row r="152" spans="2:14" ht="15">
      <c r="B152" s="192" t="s">
        <v>323</v>
      </c>
      <c r="C152" s="283">
        <v>9.811489041894676</v>
      </c>
      <c r="D152" s="284">
        <f>29.6543235778809/1000</f>
        <v>0.0296543235778809</v>
      </c>
      <c r="E152" s="283">
        <v>8.976462341845036</v>
      </c>
      <c r="F152" s="284">
        <f>27.2354297637939/1000</f>
        <v>0.027235429763793898</v>
      </c>
      <c r="G152" s="31"/>
      <c r="H152" s="31"/>
      <c r="I152" s="31"/>
      <c r="J152" s="31"/>
      <c r="K152" s="31"/>
      <c r="L152" s="31"/>
      <c r="M152" s="31"/>
      <c r="N152" s="31"/>
    </row>
    <row r="153" spans="2:14" ht="15">
      <c r="B153" s="192" t="s">
        <v>324</v>
      </c>
      <c r="C153" s="283">
        <v>21.346105662174523</v>
      </c>
      <c r="D153" s="284">
        <f>20.5178699493408/1000</f>
        <v>0.020517869949340798</v>
      </c>
      <c r="E153" s="283">
        <v>15.137740672565998</v>
      </c>
      <c r="F153" s="284">
        <f>24.2603340148926/1000</f>
        <v>0.0242603340148926</v>
      </c>
      <c r="G153" s="31"/>
      <c r="H153" s="31"/>
      <c r="I153" s="31"/>
      <c r="J153" s="31"/>
      <c r="K153" s="31"/>
      <c r="L153" s="31"/>
      <c r="M153" s="31"/>
      <c r="N153" s="31"/>
    </row>
    <row r="154" spans="2:14" ht="15">
      <c r="B154" s="189" t="s">
        <v>325</v>
      </c>
      <c r="C154" s="283">
        <v>5.81695014052093</v>
      </c>
      <c r="D154" s="284">
        <f>4.26156711578369/1000</f>
        <v>0.00426156711578369</v>
      </c>
      <c r="E154" s="283">
        <v>7.712173247709871</v>
      </c>
      <c r="F154" s="284">
        <f>4.33219528198242/1000</f>
        <v>0.00433219528198242</v>
      </c>
      <c r="G154" s="31"/>
      <c r="H154" s="31"/>
      <c r="I154" s="31"/>
      <c r="J154" s="31"/>
      <c r="K154" s="31"/>
      <c r="L154" s="31"/>
      <c r="M154" s="31"/>
      <c r="N154" s="31"/>
    </row>
    <row r="155" spans="3:6" ht="15">
      <c r="C155" s="58"/>
      <c r="D155" s="58"/>
      <c r="E155" s="58"/>
      <c r="F155" s="58"/>
    </row>
  </sheetData>
  <sheetProtection password="A20C" sheet="1" objects="1" scenarios="1"/>
  <mergeCells count="10">
    <mergeCell ref="C137:D137"/>
    <mergeCell ref="C130:E130"/>
    <mergeCell ref="D21:E21"/>
    <mergeCell ref="H6:J6"/>
    <mergeCell ref="H14:J14"/>
    <mergeCell ref="F134:I135"/>
    <mergeCell ref="B3:F3"/>
    <mergeCell ref="C6:E6"/>
    <mergeCell ref="C14:E14"/>
    <mergeCell ref="F132:I133"/>
  </mergeCells>
  <hyperlinks>
    <hyperlink ref="K1:M1" location="'Table of Contents'!B3" display="Table of Contents"/>
    <hyperlink ref="J22" location="Mitigation!B4" display="Mitigation"/>
    <hyperlink ref="L23" r:id="rId1" display="http://capabilities.itron.com/CeusWeb/FCZMap.aspx"/>
  </hyperlinks>
  <printOptions/>
  <pageMargins left="0.7" right="0.7" top="0.75" bottom="0.75" header="0.3" footer="0.3"/>
  <pageSetup horizontalDpi="1200" verticalDpi="12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wksWaterV">
    <tabColor rgb="FF00B0F0"/>
  </sheetPr>
  <dimension ref="A1:AR165"/>
  <sheetViews>
    <sheetView showGridLines="0" showRowColHeaders="0" tabSelected="1" zoomScale="90" zoomScaleNormal="90" zoomScalePageLayoutView="0" workbookViewId="0" topLeftCell="A106">
      <selection activeCell="C118" sqref="C118"/>
    </sheetView>
  </sheetViews>
  <sheetFormatPr defaultColWidth="9.140625" defaultRowHeight="15"/>
  <cols>
    <col min="1" max="1" width="5.8515625" style="44" customWidth="1"/>
    <col min="2" max="2" width="31.8515625" style="44" customWidth="1"/>
    <col min="3" max="3" width="21.28125" style="44" customWidth="1"/>
    <col min="4" max="4" width="18.28125" style="44" customWidth="1"/>
    <col min="5" max="5" width="18.57421875" style="44" customWidth="1"/>
    <col min="6" max="6" width="14.140625" style="44" customWidth="1"/>
    <col min="7" max="7" width="32.28125" style="44" customWidth="1"/>
    <col min="8" max="8" width="22.421875" style="44" customWidth="1"/>
    <col min="9" max="9" width="19.28125" style="44" customWidth="1"/>
    <col min="10" max="10" width="18.140625" style="44" customWidth="1"/>
    <col min="11" max="11" width="32.421875" style="44" customWidth="1"/>
    <col min="12" max="12" width="23.140625" style="44" customWidth="1"/>
    <col min="13" max="13" width="11.57421875" style="44" bestFit="1" customWidth="1"/>
    <col min="14" max="14" width="14.28125" style="44" customWidth="1"/>
    <col min="15" max="19" width="9.140625" style="44" customWidth="1"/>
    <col min="20" max="20" width="9.57421875" style="44" bestFit="1" customWidth="1"/>
    <col min="21" max="28" width="9.140625" style="44" customWidth="1"/>
    <col min="29" max="29" width="23.7109375" style="44" customWidth="1"/>
    <col min="30" max="30" width="21.57421875" style="44" customWidth="1"/>
    <col min="31" max="31" width="17.57421875" style="44" customWidth="1"/>
    <col min="32" max="39" width="9.140625" style="44" customWidth="1"/>
    <col min="40" max="40" width="4.421875" style="44" customWidth="1"/>
    <col min="41" max="41" width="7.8515625" style="44" bestFit="1" customWidth="1"/>
    <col min="42" max="42" width="33.140625" style="44" bestFit="1" customWidth="1"/>
    <col min="43" max="43" width="12.57421875" style="44" customWidth="1"/>
    <col min="44" max="44" width="15.57421875" style="44" customWidth="1"/>
    <col min="45" max="45" width="16.57421875" style="44" customWidth="1"/>
    <col min="46" max="16384" width="9.140625" style="44" customWidth="1"/>
  </cols>
  <sheetData>
    <row r="1" spans="2:13" ht="15">
      <c r="B1" s="34" t="s">
        <v>177</v>
      </c>
      <c r="K1" s="34"/>
      <c r="L1" s="34"/>
      <c r="M1" s="34"/>
    </row>
    <row r="2" ht="15" customHeight="1"/>
    <row r="3" spans="1:26" ht="26.25">
      <c r="A3" s="9"/>
      <c r="B3" s="579" t="s">
        <v>12</v>
      </c>
      <c r="C3" s="579"/>
      <c r="D3" s="579"/>
      <c r="E3" s="579"/>
      <c r="F3" s="580"/>
      <c r="G3" s="9"/>
      <c r="H3" s="9"/>
      <c r="I3" s="9"/>
      <c r="J3" s="9"/>
      <c r="K3" s="9"/>
      <c r="L3" s="9"/>
      <c r="M3" s="9"/>
      <c r="N3" s="9"/>
      <c r="O3" s="9"/>
      <c r="P3" s="9"/>
      <c r="Q3" s="9"/>
      <c r="R3" s="9"/>
      <c r="S3" s="9"/>
      <c r="T3" s="9"/>
      <c r="U3" s="9"/>
      <c r="V3" s="9"/>
      <c r="W3" s="9"/>
      <c r="X3" s="9"/>
      <c r="Y3" s="9"/>
      <c r="Z3" s="9"/>
    </row>
    <row r="4" spans="2:3" ht="15" customHeight="1">
      <c r="B4" s="509" t="s">
        <v>679</v>
      </c>
      <c r="C4" s="44" t="str">
        <f>IF(+nrUseBaseline,"ON","OFF")</f>
        <v>ON</v>
      </c>
    </row>
    <row r="5" ht="15" customHeight="1" thickBot="1">
      <c r="B5" s="57"/>
    </row>
    <row r="6" spans="2:10" ht="15" customHeight="1">
      <c r="B6" s="384"/>
      <c r="C6" s="581" t="s">
        <v>649</v>
      </c>
      <c r="D6" s="581"/>
      <c r="E6" s="582"/>
      <c r="G6" s="384"/>
      <c r="H6" s="581" t="s">
        <v>650</v>
      </c>
      <c r="I6" s="581"/>
      <c r="J6" s="582"/>
    </row>
    <row r="7" spans="2:10" ht="15" customHeight="1" thickBot="1">
      <c r="B7" s="385"/>
      <c r="C7" s="386" t="s">
        <v>113</v>
      </c>
      <c r="D7" s="386" t="s">
        <v>114</v>
      </c>
      <c r="E7" s="235" t="s">
        <v>119</v>
      </c>
      <c r="G7" s="385"/>
      <c r="H7" s="386" t="s">
        <v>113</v>
      </c>
      <c r="I7" s="386" t="s">
        <v>114</v>
      </c>
      <c r="J7" s="235" t="s">
        <v>119</v>
      </c>
    </row>
    <row r="8" spans="2:10" ht="15" customHeight="1">
      <c r="B8" s="288" t="s">
        <v>286</v>
      </c>
      <c r="C8" s="291">
        <f>+nrCO2EmFactor/1000*nrProjectWaterkwhPerYear/2204</f>
        <v>4.115047213171125</v>
      </c>
      <c r="D8" s="292">
        <f>IF(nrUseBaseline,nrCO2EmFactor/1000*nrBaselineWaterkwhPerYear/2204,0)</f>
        <v>0</v>
      </c>
      <c r="E8" s="290"/>
      <c r="G8" s="288" t="s">
        <v>286</v>
      </c>
      <c r="H8" s="291">
        <f>+nrCO2EmFactor/1000*J19/2204</f>
        <v>3.94172704348944</v>
      </c>
      <c r="I8" s="292">
        <f>IF(nrUseBaseline,nrCO2EmFactor/1000*nrBaselineWaterkwhPerYear/2204,0)</f>
        <v>0</v>
      </c>
      <c r="J8" s="290"/>
    </row>
    <row r="9" spans="2:10" ht="15" customHeight="1">
      <c r="B9" s="288" t="s">
        <v>287</v>
      </c>
      <c r="C9" s="291">
        <f>+nrCH4EmFactor/1000*nrProjectWaterkwhPerYear/2204</f>
        <v>3.426904358794657E-05</v>
      </c>
      <c r="D9" s="292">
        <f>IF(nrUseBaseline,nrCH4EmFactor/1000*nrBaselineWaterkwhPerYear/2204,0)</f>
        <v>0</v>
      </c>
      <c r="E9" s="290"/>
      <c r="G9" s="288" t="s">
        <v>287</v>
      </c>
      <c r="H9" s="291">
        <f>+nrCH4EmFactor/1000*J19/2204</f>
        <v>3.28256782650698E-05</v>
      </c>
      <c r="I9" s="292">
        <f>IF(nrUseBaseline,nrCH4EmFactor/1000*nrBaselineWaterkwhPerYear/2204,0)</f>
        <v>0</v>
      </c>
      <c r="J9" s="290"/>
    </row>
    <row r="10" spans="2:10" ht="15" customHeight="1">
      <c r="B10" s="288" t="s">
        <v>288</v>
      </c>
      <c r="C10" s="291">
        <f>+nrN2OEmFactor/1000*nrProjectWaterkwhPerYear/2204</f>
        <v>1.8924695712746615E-05</v>
      </c>
      <c r="D10" s="292">
        <f>IF(nrUseBaseline,nrN2OEmFactor/1000*nrBaselineWaterkwhPerYear/2204,0)</f>
        <v>0</v>
      </c>
      <c r="E10" s="290"/>
      <c r="G10" s="288" t="s">
        <v>288</v>
      </c>
      <c r="H10" s="291">
        <f>+nrN2OEmFactor/1000*J19/2204</f>
        <v>1.8127613370262426E-05</v>
      </c>
      <c r="I10" s="292">
        <f>IF(nrUseBaseline,nrN2OEmFactor/1000*nrBaselineWaterkwhPerYear/2204,0)</f>
        <v>0</v>
      </c>
      <c r="J10" s="290"/>
    </row>
    <row r="11" spans="2:10" ht="15" customHeight="1" thickBot="1">
      <c r="B11" s="289" t="s">
        <v>289</v>
      </c>
      <c r="C11" s="293">
        <f>+(C8+(C9*21)+(C10*310))</f>
        <v>4.121633518757423</v>
      </c>
      <c r="D11" s="294">
        <f>IF(nrUseBaseline,(D8+(D9*21)+(D10*310)),0)</f>
        <v>0</v>
      </c>
      <c r="E11" s="290"/>
      <c r="G11" s="289" t="s">
        <v>289</v>
      </c>
      <c r="H11" s="293">
        <f>+(H8+(H9*21)+(H10*310))</f>
        <v>3.948035942877788</v>
      </c>
      <c r="I11" s="294">
        <f>IF(nrUseBaseline,(I8+(I9*21)+(I10*310)),0)</f>
        <v>0</v>
      </c>
      <c r="J11" s="290"/>
    </row>
    <row r="12" spans="2:10" ht="15" customHeight="1" thickBot="1">
      <c r="B12" s="289" t="s">
        <v>289</v>
      </c>
      <c r="C12" s="295"/>
      <c r="D12" s="295"/>
      <c r="E12" s="296">
        <f>IF(nrUseBaseline,C11-D11,C11)</f>
        <v>4.121633518757423</v>
      </c>
      <c r="G12" s="289" t="s">
        <v>289</v>
      </c>
      <c r="H12" s="295"/>
      <c r="I12" s="295"/>
      <c r="J12" s="296">
        <f>IF(nrUseBaseline,H11-I11,H11)</f>
        <v>3.948035942877788</v>
      </c>
    </row>
    <row r="13" spans="3:11" ht="15">
      <c r="C13" s="45"/>
      <c r="D13" s="45"/>
      <c r="E13" s="53"/>
      <c r="G13" s="392" t="s">
        <v>651</v>
      </c>
      <c r="I13" s="471" t="s">
        <v>638</v>
      </c>
      <c r="J13" s="34"/>
      <c r="K13" s="34"/>
    </row>
    <row r="14" spans="3:44" ht="15">
      <c r="C14" s="45"/>
      <c r="D14" s="45"/>
      <c r="E14" s="53"/>
      <c r="AQ14" s="45" t="s">
        <v>177</v>
      </c>
      <c r="AR14" s="45"/>
    </row>
    <row r="15" spans="2:44" ht="45" customHeight="1">
      <c r="B15" s="47"/>
      <c r="C15" s="215" t="s">
        <v>221</v>
      </c>
      <c r="D15" s="350" t="s">
        <v>220</v>
      </c>
      <c r="E15" s="48" t="s">
        <v>606</v>
      </c>
      <c r="F15" s="55" t="s">
        <v>607</v>
      </c>
      <c r="G15" s="48" t="s">
        <v>608</v>
      </c>
      <c r="H15" s="55" t="s">
        <v>609</v>
      </c>
      <c r="I15" s="55" t="s">
        <v>653</v>
      </c>
      <c r="J15" s="55" t="s">
        <v>652</v>
      </c>
      <c r="AQ15" s="52" t="s">
        <v>177</v>
      </c>
      <c r="AR15" s="52"/>
    </row>
    <row r="16" spans="2:10" ht="18.75" customHeight="1">
      <c r="B16" s="54" t="s">
        <v>229</v>
      </c>
      <c r="C16" s="470"/>
      <c r="D16" s="300">
        <f>nrBaselineWaterUse/nrGallonsPerAcreFoot</f>
        <v>0</v>
      </c>
      <c r="E16" s="301">
        <f>+D16*nrGallonsPerAcreFoot</f>
        <v>0</v>
      </c>
      <c r="F16" s="48">
        <f>+E16*H36</f>
        <v>0</v>
      </c>
      <c r="G16" s="48">
        <f>+E16*H37</f>
        <v>0</v>
      </c>
      <c r="H16" s="48">
        <f>+F16</f>
        <v>0</v>
      </c>
      <c r="I16" s="48">
        <f>+G16</f>
        <v>0</v>
      </c>
      <c r="J16" s="47"/>
    </row>
    <row r="17" spans="2:10" ht="15">
      <c r="B17" s="54" t="s">
        <v>230</v>
      </c>
      <c r="C17" s="470"/>
      <c r="D17" s="300">
        <f>nrProjectWaterUse/nrGallonsPerAcreFoot</f>
        <v>7.3576137842540765</v>
      </c>
      <c r="E17" s="301">
        <f>+D17*nrGallonsPerAcreFoot</f>
        <v>2397846.3322884035</v>
      </c>
      <c r="F17" s="48">
        <f>+E17*C36</f>
        <v>1507335.815090261</v>
      </c>
      <c r="G17" s="48">
        <f>+E17*C37</f>
        <v>890510.5171981425</v>
      </c>
      <c r="H17" s="48">
        <f>+F17*(100-Mitigation!E56)/100</f>
        <v>1477189.0987884558</v>
      </c>
      <c r="I17" s="48">
        <f>+G17*(100-Mitigation!E53)/100</f>
        <v>801459.4654783282</v>
      </c>
      <c r="J17" s="47"/>
    </row>
    <row r="18" spans="2:10" ht="15">
      <c r="B18" s="54" t="s">
        <v>214</v>
      </c>
      <c r="C18" s="508"/>
      <c r="D18" s="300">
        <f>+D17-D16</f>
        <v>7.3576137842540765</v>
      </c>
      <c r="E18" s="301">
        <f>+D18*nrGallonsPerAcreFoot</f>
        <v>2397846.3322884035</v>
      </c>
      <c r="F18" s="48">
        <f>+F17-F16</f>
        <v>1507335.815090261</v>
      </c>
      <c r="G18" s="48">
        <f>+G17-G16</f>
        <v>890510.5171981425</v>
      </c>
      <c r="H18" s="48">
        <f>+H17-H16</f>
        <v>1477189.0987884558</v>
      </c>
      <c r="I18" s="48">
        <f>+I17-I16</f>
        <v>801459.4654783282</v>
      </c>
      <c r="J18" s="47"/>
    </row>
    <row r="19" spans="2:10" ht="15">
      <c r="B19" s="50"/>
      <c r="C19" s="50"/>
      <c r="D19" s="50"/>
      <c r="E19" s="50"/>
      <c r="F19" s="50"/>
      <c r="H19" s="298">
        <f>H17*5411/1000000</f>
        <v>7993.070213544334</v>
      </c>
      <c r="I19" s="298">
        <f>I17*3500/1000000</f>
        <v>2805.1081291741484</v>
      </c>
      <c r="J19" s="47">
        <f>SUM(H19:I19)</f>
        <v>10798.178342718482</v>
      </c>
    </row>
    <row r="20" spans="2:10" ht="15">
      <c r="B20" s="50"/>
      <c r="C20" s="50"/>
      <c r="D20" s="50"/>
      <c r="E20" s="50"/>
      <c r="F20" s="50"/>
      <c r="H20" s="413"/>
      <c r="I20" s="413"/>
      <c r="J20" s="50"/>
    </row>
    <row r="21" spans="2:8" ht="15">
      <c r="B21" s="532" t="s">
        <v>222</v>
      </c>
      <c r="C21" s="530"/>
      <c r="E21" s="533" t="s">
        <v>239</v>
      </c>
      <c r="F21" s="533" t="s">
        <v>213</v>
      </c>
      <c r="G21" s="533"/>
      <c r="H21" s="534"/>
    </row>
    <row r="22" spans="2:8" ht="15">
      <c r="B22" s="530" t="s">
        <v>217</v>
      </c>
      <c r="C22" s="530" t="s">
        <v>216</v>
      </c>
      <c r="E22" s="534">
        <v>1</v>
      </c>
      <c r="F22" s="538" t="s">
        <v>148</v>
      </c>
      <c r="G22" s="539"/>
      <c r="H22" s="535">
        <v>1700</v>
      </c>
    </row>
    <row r="23" spans="2:8" ht="15">
      <c r="B23" s="531">
        <v>2.94</v>
      </c>
      <c r="C23" s="531">
        <v>2.65</v>
      </c>
      <c r="E23" s="534">
        <v>2</v>
      </c>
      <c r="F23" s="537" t="s">
        <v>210</v>
      </c>
      <c r="G23" s="536"/>
      <c r="H23" s="535">
        <v>1300</v>
      </c>
    </row>
    <row r="24" spans="5:8" ht="15">
      <c r="E24" s="534">
        <v>3</v>
      </c>
      <c r="F24" s="537" t="s">
        <v>207</v>
      </c>
      <c r="G24" s="536"/>
      <c r="H24" s="535">
        <v>1300</v>
      </c>
    </row>
    <row r="25" spans="5:12" ht="15">
      <c r="E25" s="534">
        <v>4</v>
      </c>
      <c r="F25" s="537" t="s">
        <v>204</v>
      </c>
      <c r="G25" s="539"/>
      <c r="H25" s="535">
        <v>1000</v>
      </c>
      <c r="I25" s="597" t="s">
        <v>187</v>
      </c>
      <c r="J25" s="597"/>
      <c r="K25" s="597"/>
      <c r="L25" s="597"/>
    </row>
    <row r="26" spans="5:12" ht="15">
      <c r="E26" s="534">
        <v>5</v>
      </c>
      <c r="F26" s="537" t="s">
        <v>202</v>
      </c>
      <c r="G26" s="536"/>
      <c r="H26" s="535">
        <v>900</v>
      </c>
      <c r="I26" s="597"/>
      <c r="J26" s="597"/>
      <c r="K26" s="597"/>
      <c r="L26" s="597"/>
    </row>
    <row r="27" spans="5:12" ht="15">
      <c r="E27" s="534">
        <v>6</v>
      </c>
      <c r="F27" s="537" t="s">
        <v>200</v>
      </c>
      <c r="G27" s="536"/>
      <c r="H27" s="535">
        <v>766</v>
      </c>
      <c r="I27" s="597"/>
      <c r="J27" s="597"/>
      <c r="K27" s="597"/>
      <c r="L27" s="597"/>
    </row>
    <row r="28" spans="5:9" ht="15">
      <c r="E28" s="534">
        <v>7</v>
      </c>
      <c r="F28" s="537" t="s">
        <v>198</v>
      </c>
      <c r="G28" s="536"/>
      <c r="H28" s="535">
        <v>750</v>
      </c>
      <c r="I28" s="34" t="s">
        <v>181</v>
      </c>
    </row>
    <row r="29" spans="5:8" ht="15">
      <c r="E29" s="534">
        <v>8</v>
      </c>
      <c r="F29" s="537" t="s">
        <v>196</v>
      </c>
      <c r="G29" s="536"/>
      <c r="H29" s="535">
        <v>600</v>
      </c>
    </row>
    <row r="30" spans="5:8" ht="15">
      <c r="E30" s="534">
        <v>9</v>
      </c>
      <c r="F30" s="537" t="s">
        <v>194</v>
      </c>
      <c r="G30" s="536"/>
      <c r="H30" s="535">
        <v>550</v>
      </c>
    </row>
    <row r="31" spans="5:8" ht="15">
      <c r="E31" s="534">
        <v>10</v>
      </c>
      <c r="F31" s="537" t="s">
        <v>191</v>
      </c>
      <c r="G31" s="536"/>
      <c r="H31" s="535">
        <v>500</v>
      </c>
    </row>
    <row r="32" spans="5:8" ht="15">
      <c r="E32" s="534">
        <v>11</v>
      </c>
      <c r="F32" s="537" t="s">
        <v>189</v>
      </c>
      <c r="G32" s="536"/>
      <c r="H32" s="535">
        <v>400</v>
      </c>
    </row>
    <row r="33" spans="2:10" ht="15">
      <c r="B33" s="50"/>
      <c r="C33" s="50"/>
      <c r="D33" s="50"/>
      <c r="E33" s="50"/>
      <c r="F33" s="50"/>
      <c r="H33" s="413"/>
      <c r="I33" s="413"/>
      <c r="J33" s="50"/>
    </row>
    <row r="34" spans="2:6" ht="15">
      <c r="B34"/>
      <c r="C34"/>
      <c r="D34"/>
      <c r="E34" s="51"/>
      <c r="F34" s="50"/>
    </row>
    <row r="35" spans="2:8" ht="15">
      <c r="B35" s="220" t="s">
        <v>571</v>
      </c>
      <c r="C35" s="219"/>
      <c r="D35"/>
      <c r="G35" s="220" t="s">
        <v>572</v>
      </c>
      <c r="H35" s="219"/>
    </row>
    <row r="36" spans="2:8" ht="15">
      <c r="B36" s="335" t="s">
        <v>208</v>
      </c>
      <c r="C36" s="297">
        <f>VLOOKUP(nrProjectYear,nrWaterIndoorOutdoorUse,2)</f>
        <v>0.628620689655172</v>
      </c>
      <c r="D36"/>
      <c r="G36" s="219" t="s">
        <v>208</v>
      </c>
      <c r="H36" s="297">
        <f>IF(nrUseBaseline,VLOOKUP(nrBaselineYear,nrWaterIndoorOutdoorUse,2),0)</f>
        <v>0.6296551724137928</v>
      </c>
    </row>
    <row r="37" spans="2:8" ht="15">
      <c r="B37" s="335" t="s">
        <v>205</v>
      </c>
      <c r="C37" s="297">
        <f>VLOOKUP(nrProjectYear,nrWaterIndoorOutdoorUse,3)</f>
        <v>0.37137931034482796</v>
      </c>
      <c r="D37"/>
      <c r="G37" s="219" t="s">
        <v>205</v>
      </c>
      <c r="H37" s="297">
        <f>IF(nrUseBaseline,VLOOKUP(nrBaselineYear,nrWaterIndoorOutdoorUse,3),0)</f>
        <v>0.37034482758620724</v>
      </c>
    </row>
    <row r="38" spans="2:8" ht="15">
      <c r="B38" s="335" t="s">
        <v>175</v>
      </c>
      <c r="C38" s="298">
        <f>SUM(C36:C37)</f>
        <v>1</v>
      </c>
      <c r="D38"/>
      <c r="G38" s="219" t="s">
        <v>175</v>
      </c>
      <c r="H38" s="298">
        <f>SUM(H36:H37)</f>
        <v>1</v>
      </c>
    </row>
    <row r="39" spans="2:8" ht="15">
      <c r="B39" s="221"/>
      <c r="C39" s="253"/>
      <c r="D39"/>
      <c r="E39" s="49"/>
      <c r="F39" s="49"/>
      <c r="H39" s="45"/>
    </row>
    <row r="40" spans="2:9" ht="15" customHeight="1">
      <c r="B40" s="335" t="s">
        <v>233</v>
      </c>
      <c r="C40" s="298">
        <f>IF(C17&gt;0,C17*C36*5411*(nrGallonsPerAcreFoot/1000000),D17*C36*5411*(nrGallonsPerAcreFoot/1000000))</f>
        <v>8156.194095453404</v>
      </c>
      <c r="D40" s="219" t="s">
        <v>185</v>
      </c>
      <c r="E40" s="49"/>
      <c r="G40" s="219" t="s">
        <v>231</v>
      </c>
      <c r="H40" s="298">
        <f>IF(C16&gt;0,+C16*H36*5411*(nrGallonsPerAcreFoot/1000000),+$D$16*H36*5411*(nrGallonsPerAcreFoot/1000000))</f>
        <v>0</v>
      </c>
      <c r="I40" s="219" t="s">
        <v>185</v>
      </c>
    </row>
    <row r="41" spans="2:9" ht="15" customHeight="1">
      <c r="B41" s="335" t="s">
        <v>234</v>
      </c>
      <c r="C41" s="298">
        <f>IF(C17&gt;0,C17*C37*3500*(nrGallonsPerAcreFoot/1000000),D17*C37*3500*(nrGallonsPerAcreFoot/1000000))</f>
        <v>3116.7868101934987</v>
      </c>
      <c r="D41" s="219" t="s">
        <v>185</v>
      </c>
      <c r="E41" s="49"/>
      <c r="G41" s="219" t="s">
        <v>232</v>
      </c>
      <c r="H41" s="298">
        <f>IF(C16&gt;0,+C16*H37*3500*(nrGallonsPerAcreFoot/1000000),+$D$16*H37*3500*(nrGallonsPerAcreFoot/1000000))</f>
        <v>0</v>
      </c>
      <c r="I41" s="219" t="s">
        <v>185</v>
      </c>
    </row>
    <row r="42" spans="2:9" ht="15">
      <c r="B42" s="335" t="s">
        <v>175</v>
      </c>
      <c r="C42" s="298">
        <f>SUM(C40:C41)</f>
        <v>11272.980905646902</v>
      </c>
      <c r="D42" s="219" t="s">
        <v>185</v>
      </c>
      <c r="E42" s="49"/>
      <c r="G42" s="219" t="s">
        <v>175</v>
      </c>
      <c r="H42" s="298">
        <f>SUM(H40:H41)</f>
        <v>0</v>
      </c>
      <c r="I42" s="219" t="s">
        <v>185</v>
      </c>
    </row>
    <row r="43" spans="2:9" ht="15">
      <c r="B43" s="529"/>
      <c r="C43" s="413"/>
      <c r="D43" s="232"/>
      <c r="E43" s="49"/>
      <c r="G43" s="232"/>
      <c r="H43" s="413"/>
      <c r="I43" s="232"/>
    </row>
    <row r="45" spans="2:5" ht="15">
      <c r="B45" s="189" t="s">
        <v>171</v>
      </c>
      <c r="C45" s="190" t="s">
        <v>21</v>
      </c>
      <c r="D45" s="190" t="s">
        <v>170</v>
      </c>
      <c r="E45" s="190" t="s">
        <v>169</v>
      </c>
    </row>
    <row r="46" spans="2:6" ht="15">
      <c r="B46" s="189" t="s">
        <v>8</v>
      </c>
      <c r="C46" s="190">
        <v>804.54</v>
      </c>
      <c r="D46" s="197">
        <v>0.0067</v>
      </c>
      <c r="E46" s="197">
        <v>0.0037</v>
      </c>
      <c r="F46" s="44" t="s">
        <v>167</v>
      </c>
    </row>
    <row r="47" spans="2:5" ht="15">
      <c r="B47" s="189" t="s">
        <v>63</v>
      </c>
      <c r="C47" s="190" t="s">
        <v>165</v>
      </c>
      <c r="D47" s="190" t="s">
        <v>165</v>
      </c>
      <c r="E47" s="190" t="s">
        <v>165</v>
      </c>
    </row>
    <row r="49" spans="2:4" ht="15">
      <c r="B49" s="188"/>
      <c r="C49" s="188"/>
      <c r="D49" s="188"/>
    </row>
    <row r="50" spans="2:9" ht="15">
      <c r="B50" s="188"/>
      <c r="C50" s="188"/>
      <c r="D50" s="188"/>
      <c r="I50" s="46"/>
    </row>
    <row r="51" spans="2:10" ht="15">
      <c r="B51" s="188"/>
      <c r="C51" s="188"/>
      <c r="D51" s="188"/>
      <c r="E51" s="44" t="s">
        <v>192</v>
      </c>
      <c r="J51" s="45"/>
    </row>
    <row r="52" spans="2:4" ht="15">
      <c r="B52" s="188"/>
      <c r="C52" s="188"/>
      <c r="D52" s="188"/>
    </row>
    <row r="53" spans="2:4" ht="15">
      <c r="B53" s="188"/>
      <c r="C53" s="188"/>
      <c r="D53" s="188"/>
    </row>
    <row r="54" spans="2:4" ht="15">
      <c r="B54" s="188"/>
      <c r="C54" s="188"/>
      <c r="D54" s="188"/>
    </row>
    <row r="55" spans="2:4" ht="15">
      <c r="B55" s="188"/>
      <c r="C55" s="188"/>
      <c r="D55" s="188"/>
    </row>
    <row r="56" spans="2:4" ht="15">
      <c r="B56" s="188"/>
      <c r="C56" s="188"/>
      <c r="D56" s="188"/>
    </row>
    <row r="57" spans="2:4" ht="42.75" customHeight="1">
      <c r="B57" s="188"/>
      <c r="C57" s="188"/>
      <c r="D57" s="188"/>
    </row>
    <row r="58" spans="2:4" ht="15">
      <c r="B58" s="188"/>
      <c r="C58" s="188"/>
      <c r="D58" s="188"/>
    </row>
    <row r="59" spans="2:4" ht="15">
      <c r="B59" s="188"/>
      <c r="C59" s="188"/>
      <c r="D59" s="188"/>
    </row>
    <row r="61" spans="2:3" ht="15">
      <c r="B61" s="196" t="s">
        <v>235</v>
      </c>
      <c r="C61" s="189">
        <v>325900</v>
      </c>
    </row>
    <row r="64" spans="2:9" ht="15">
      <c r="B64" s="189"/>
      <c r="C64" s="190" t="s">
        <v>224</v>
      </c>
      <c r="D64" s="190"/>
      <c r="E64" s="543"/>
      <c r="F64" s="540"/>
      <c r="G64" s="47" t="s">
        <v>346</v>
      </c>
      <c r="H64" s="47"/>
      <c r="I64" s="47"/>
    </row>
    <row r="65" spans="2:9" ht="30">
      <c r="B65" s="189"/>
      <c r="C65" s="190" t="s">
        <v>219</v>
      </c>
      <c r="D65" s="190" t="s">
        <v>218</v>
      </c>
      <c r="E65" s="543" t="s">
        <v>175</v>
      </c>
      <c r="F65" s="540"/>
      <c r="G65" s="47" t="s">
        <v>370</v>
      </c>
      <c r="H65" s="47" t="s">
        <v>63</v>
      </c>
      <c r="I65" s="55" t="s">
        <v>713</v>
      </c>
    </row>
    <row r="66" spans="2:9" ht="15">
      <c r="B66" s="199">
        <v>2001</v>
      </c>
      <c r="C66" s="190">
        <v>0.64</v>
      </c>
      <c r="D66" s="190">
        <f aca="true" t="shared" si="0" ref="D66:D95">1-C66</f>
        <v>0.36</v>
      </c>
      <c r="E66" s="543">
        <f aca="true" t="shared" si="1" ref="E66:E95">SUM(C66:D66)</f>
        <v>1</v>
      </c>
      <c r="F66" s="540"/>
      <c r="G66" s="47" t="s">
        <v>240</v>
      </c>
      <c r="H66" s="47">
        <f>nrUrbSingleFamilyUnits</f>
        <v>0</v>
      </c>
      <c r="I66" s="55">
        <f>VLOOKUP(nrProjectYear,nrWaterUse,2)*H66*nrSingleFamilysize*365</f>
        <v>0</v>
      </c>
    </row>
    <row r="67" spans="2:9" ht="15">
      <c r="B67" s="199">
        <f aca="true" t="shared" si="2" ref="B67:B95">1+B66</f>
        <v>2002</v>
      </c>
      <c r="C67" s="190">
        <f aca="true" t="shared" si="3" ref="C67:C94">+($C$95-$C$66)/29+C66</f>
        <v>0.6389655172413793</v>
      </c>
      <c r="D67" s="190">
        <f t="shared" si="0"/>
        <v>0.3610344827586207</v>
      </c>
      <c r="E67" s="543">
        <f t="shared" si="1"/>
        <v>1</v>
      </c>
      <c r="F67" s="540"/>
      <c r="G67" s="47" t="s">
        <v>241</v>
      </c>
      <c r="H67" s="47">
        <f>nrUrbMultiFamilyUnits</f>
        <v>0</v>
      </c>
      <c r="I67" s="55">
        <f>VLOOKUP(nrProjectYear,nrWaterUse,3)*H67*nrMultiFamilySize*365</f>
        <v>0</v>
      </c>
    </row>
    <row r="68" spans="2:12" ht="30">
      <c r="B68" s="199">
        <f t="shared" si="2"/>
        <v>2003</v>
      </c>
      <c r="C68" s="190">
        <f t="shared" si="3"/>
        <v>0.6379310344827586</v>
      </c>
      <c r="D68" s="190">
        <f t="shared" si="0"/>
        <v>0.36206896551724144</v>
      </c>
      <c r="E68" s="543">
        <f t="shared" si="1"/>
        <v>1</v>
      </c>
      <c r="F68" s="541" t="s">
        <v>228</v>
      </c>
      <c r="G68" s="47" t="s">
        <v>371</v>
      </c>
      <c r="H68" s="47" t="s">
        <v>212</v>
      </c>
      <c r="I68" s="55" t="s">
        <v>713</v>
      </c>
      <c r="K68" s="559" t="s">
        <v>714</v>
      </c>
      <c r="L68" s="560"/>
    </row>
    <row r="69" spans="2:12" ht="30">
      <c r="B69" s="199">
        <f t="shared" si="2"/>
        <v>2004</v>
      </c>
      <c r="C69" s="190">
        <f t="shared" si="3"/>
        <v>0.6368965517241378</v>
      </c>
      <c r="D69" s="190">
        <f t="shared" si="0"/>
        <v>0.36310344827586216</v>
      </c>
      <c r="E69" s="543">
        <f t="shared" si="1"/>
        <v>1</v>
      </c>
      <c r="F69" s="542">
        <v>6</v>
      </c>
      <c r="G69" s="47" t="s">
        <v>209</v>
      </c>
      <c r="H69" s="47">
        <f>INDEX(nrUrbLandUseSqFt,1)</f>
        <v>0</v>
      </c>
      <c r="I69" s="47">
        <f aca="true" t="shared" si="4" ref="I69:I111">(H69*1000/VLOOKUP(F69,nrSqFtPerEmployee,4))*VLOOKUP(nrProjectYear,nrWaterUse,4)*365</f>
        <v>0</v>
      </c>
      <c r="K69" s="559" t="s">
        <v>712</v>
      </c>
      <c r="L69" s="572" t="s">
        <v>713</v>
      </c>
    </row>
    <row r="70" spans="2:12" ht="15">
      <c r="B70" s="199">
        <f t="shared" si="2"/>
        <v>2005</v>
      </c>
      <c r="C70" s="190">
        <f t="shared" si="3"/>
        <v>0.6358620689655171</v>
      </c>
      <c r="D70" s="190">
        <f t="shared" si="0"/>
        <v>0.3641379310344829</v>
      </c>
      <c r="E70" s="543">
        <f t="shared" si="1"/>
        <v>1</v>
      </c>
      <c r="F70" s="542">
        <v>6</v>
      </c>
      <c r="G70" s="47" t="s">
        <v>206</v>
      </c>
      <c r="H70" s="47">
        <f>INDEX(nrUrbLandUseSqFt,2)</f>
        <v>0</v>
      </c>
      <c r="I70" s="47">
        <f t="shared" si="4"/>
        <v>0</v>
      </c>
      <c r="K70" s="552"/>
      <c r="L70" s="553"/>
    </row>
    <row r="71" spans="2:12" ht="15">
      <c r="B71" s="199">
        <f t="shared" si="2"/>
        <v>2006</v>
      </c>
      <c r="C71" s="190">
        <f t="shared" si="3"/>
        <v>0.6348275862068964</v>
      </c>
      <c r="D71" s="190">
        <f t="shared" si="0"/>
        <v>0.3651724137931036</v>
      </c>
      <c r="E71" s="543">
        <f t="shared" si="1"/>
        <v>1</v>
      </c>
      <c r="F71" s="542">
        <v>6</v>
      </c>
      <c r="G71" s="47" t="s">
        <v>203</v>
      </c>
      <c r="H71" s="47">
        <f>INDEX(nrUrbLandUseSqFt,3)</f>
        <v>0</v>
      </c>
      <c r="I71" s="47">
        <f t="shared" si="4"/>
        <v>0</v>
      </c>
      <c r="K71" s="552"/>
      <c r="L71" s="553"/>
    </row>
    <row r="72" spans="2:12" ht="15">
      <c r="B72" s="199">
        <f t="shared" si="2"/>
        <v>2007</v>
      </c>
      <c r="C72" s="190">
        <f t="shared" si="3"/>
        <v>0.6337931034482757</v>
      </c>
      <c r="D72" s="190">
        <f t="shared" si="0"/>
        <v>0.36620689655172434</v>
      </c>
      <c r="E72" s="543">
        <f t="shared" si="1"/>
        <v>1</v>
      </c>
      <c r="F72" s="542">
        <v>6</v>
      </c>
      <c r="G72" s="47" t="s">
        <v>201</v>
      </c>
      <c r="H72" s="47">
        <f>INDEX(nrUrbLandUseSqFt,4)</f>
        <v>0</v>
      </c>
      <c r="I72" s="47">
        <f t="shared" si="4"/>
        <v>0</v>
      </c>
      <c r="K72" s="552"/>
      <c r="L72" s="553"/>
    </row>
    <row r="73" spans="2:12" ht="15">
      <c r="B73" s="199">
        <f t="shared" si="2"/>
        <v>2008</v>
      </c>
      <c r="C73" s="190">
        <f t="shared" si="3"/>
        <v>0.6327586206896549</v>
      </c>
      <c r="D73" s="190">
        <f t="shared" si="0"/>
        <v>0.36724137931034506</v>
      </c>
      <c r="E73" s="543">
        <f t="shared" si="1"/>
        <v>1</v>
      </c>
      <c r="F73" s="542">
        <v>6</v>
      </c>
      <c r="G73" s="47" t="s">
        <v>199</v>
      </c>
      <c r="H73" s="47">
        <f>INDEX(nrUrbLandUseSqFt,5)</f>
        <v>0</v>
      </c>
      <c r="I73" s="47">
        <f t="shared" si="4"/>
        <v>0</v>
      </c>
      <c r="K73" s="552"/>
      <c r="L73" s="553"/>
    </row>
    <row r="74" spans="2:12" ht="15">
      <c r="B74" s="199">
        <f t="shared" si="2"/>
        <v>2009</v>
      </c>
      <c r="C74" s="190">
        <f t="shared" si="3"/>
        <v>0.6317241379310342</v>
      </c>
      <c r="D74" s="190">
        <f t="shared" si="0"/>
        <v>0.3682758620689658</v>
      </c>
      <c r="E74" s="543">
        <f t="shared" si="1"/>
        <v>1</v>
      </c>
      <c r="F74" s="542">
        <v>6</v>
      </c>
      <c r="G74" s="47" t="s">
        <v>197</v>
      </c>
      <c r="H74" s="47">
        <f>INDEX(nrUrbLandUseSqFt,6)</f>
        <v>0</v>
      </c>
      <c r="I74" s="47">
        <f t="shared" si="4"/>
        <v>0</v>
      </c>
      <c r="K74" s="552"/>
      <c r="L74" s="553"/>
    </row>
    <row r="75" spans="2:12" ht="15">
      <c r="B75" s="199">
        <f t="shared" si="2"/>
        <v>2010</v>
      </c>
      <c r="C75" s="190">
        <f t="shared" si="3"/>
        <v>0.6306896551724135</v>
      </c>
      <c r="D75" s="190">
        <f t="shared" si="0"/>
        <v>0.3693103448275865</v>
      </c>
      <c r="E75" s="543">
        <f t="shared" si="1"/>
        <v>1</v>
      </c>
      <c r="F75" s="542">
        <v>6</v>
      </c>
      <c r="G75" s="47" t="s">
        <v>195</v>
      </c>
      <c r="H75" s="47">
        <f>INDEX(nrUrbLandUseSqFt,7)</f>
        <v>0</v>
      </c>
      <c r="I75" s="47">
        <f t="shared" si="4"/>
        <v>0</v>
      </c>
      <c r="K75" s="552"/>
      <c r="L75" s="553"/>
    </row>
    <row r="76" spans="2:12" ht="15">
      <c r="B76" s="199">
        <f t="shared" si="2"/>
        <v>2011</v>
      </c>
      <c r="C76" s="190">
        <f t="shared" si="3"/>
        <v>0.6296551724137928</v>
      </c>
      <c r="D76" s="190">
        <f t="shared" si="0"/>
        <v>0.37034482758620724</v>
      </c>
      <c r="E76" s="543">
        <f t="shared" si="1"/>
        <v>1</v>
      </c>
      <c r="F76" s="542">
        <v>9</v>
      </c>
      <c r="G76" s="47" t="s">
        <v>193</v>
      </c>
      <c r="H76" s="47">
        <f>INDEX(nrUrbLandUseSqFt,8)</f>
        <v>42.2</v>
      </c>
      <c r="I76" s="47">
        <f t="shared" si="4"/>
        <v>2397846.3322884035</v>
      </c>
      <c r="K76" s="552"/>
      <c r="L76" s="553"/>
    </row>
    <row r="77" spans="2:12" ht="15">
      <c r="B77" s="199">
        <f t="shared" si="2"/>
        <v>2012</v>
      </c>
      <c r="C77" s="190">
        <f t="shared" si="3"/>
        <v>0.628620689655172</v>
      </c>
      <c r="D77" s="190">
        <f t="shared" si="0"/>
        <v>0.37137931034482796</v>
      </c>
      <c r="E77" s="543">
        <f t="shared" si="1"/>
        <v>1</v>
      </c>
      <c r="F77" s="542">
        <v>2</v>
      </c>
      <c r="G77" s="47" t="s">
        <v>190</v>
      </c>
      <c r="H77" s="47">
        <f>INDEX(nrUrbLandUseSqFt,9)</f>
        <v>0</v>
      </c>
      <c r="I77" s="47">
        <f t="shared" si="4"/>
        <v>0</v>
      </c>
      <c r="K77" s="552"/>
      <c r="L77" s="553"/>
    </row>
    <row r="78" spans="2:12" ht="15">
      <c r="B78" s="199">
        <f t="shared" si="2"/>
        <v>2013</v>
      </c>
      <c r="C78" s="190">
        <f t="shared" si="3"/>
        <v>0.6275862068965513</v>
      </c>
      <c r="D78" s="190">
        <f t="shared" si="0"/>
        <v>0.3724137931034487</v>
      </c>
      <c r="E78" s="543">
        <f t="shared" si="1"/>
        <v>1</v>
      </c>
      <c r="F78" s="542">
        <v>5</v>
      </c>
      <c r="G78" s="47" t="s">
        <v>188</v>
      </c>
      <c r="H78" s="47">
        <f>INDEX(nrUrbLandUseSqFt,10)</f>
        <v>0</v>
      </c>
      <c r="I78" s="47">
        <f t="shared" si="4"/>
        <v>0</v>
      </c>
      <c r="K78" s="552"/>
      <c r="L78" s="553"/>
    </row>
    <row r="79" spans="2:12" ht="15">
      <c r="B79" s="199">
        <f t="shared" si="2"/>
        <v>2014</v>
      </c>
      <c r="C79" s="190">
        <f t="shared" si="3"/>
        <v>0.6265517241379306</v>
      </c>
      <c r="D79" s="190">
        <f t="shared" si="0"/>
        <v>0.3734482758620694</v>
      </c>
      <c r="E79" s="543">
        <f t="shared" si="1"/>
        <v>1</v>
      </c>
      <c r="F79" s="542">
        <v>5</v>
      </c>
      <c r="G79" s="47" t="s">
        <v>186</v>
      </c>
      <c r="H79" s="47">
        <f>INDEX(nrUrbLandUseSqFt,11)</f>
        <v>0</v>
      </c>
      <c r="I79" s="47">
        <f t="shared" si="4"/>
        <v>0</v>
      </c>
      <c r="K79" s="552"/>
      <c r="L79" s="553"/>
    </row>
    <row r="80" spans="2:12" ht="15">
      <c r="B80" s="199">
        <f t="shared" si="2"/>
        <v>2015</v>
      </c>
      <c r="C80" s="190">
        <f t="shared" si="3"/>
        <v>0.6255172413793099</v>
      </c>
      <c r="D80" s="190">
        <f t="shared" si="0"/>
        <v>0.37448275862069014</v>
      </c>
      <c r="E80" s="543">
        <f t="shared" si="1"/>
        <v>1</v>
      </c>
      <c r="F80" s="542">
        <v>8</v>
      </c>
      <c r="G80" s="47" t="s">
        <v>184</v>
      </c>
      <c r="H80" s="47">
        <f>INDEX(nrUrbLandUseSqFt,12)</f>
        <v>0</v>
      </c>
      <c r="I80" s="47">
        <f t="shared" si="4"/>
        <v>0</v>
      </c>
      <c r="K80" s="552"/>
      <c r="L80" s="553"/>
    </row>
    <row r="81" spans="2:12" ht="15">
      <c r="B81" s="199">
        <f t="shared" si="2"/>
        <v>2016</v>
      </c>
      <c r="C81" s="190">
        <f t="shared" si="3"/>
        <v>0.6244827586206891</v>
      </c>
      <c r="D81" s="190">
        <f t="shared" si="0"/>
        <v>0.37551724137931086</v>
      </c>
      <c r="E81" s="543">
        <f t="shared" si="1"/>
        <v>1</v>
      </c>
      <c r="F81" s="542">
        <v>8</v>
      </c>
      <c r="G81" s="47" t="s">
        <v>183</v>
      </c>
      <c r="H81" s="47">
        <f>INDEX(nrUrbLandUseSqFt,13)</f>
        <v>0</v>
      </c>
      <c r="I81" s="47">
        <f t="shared" si="4"/>
        <v>0</v>
      </c>
      <c r="K81" s="552"/>
      <c r="L81" s="553"/>
    </row>
    <row r="82" spans="2:12" ht="15">
      <c r="B82" s="199">
        <f t="shared" si="2"/>
        <v>2017</v>
      </c>
      <c r="C82" s="190">
        <f t="shared" si="3"/>
        <v>0.6234482758620684</v>
      </c>
      <c r="D82" s="190">
        <f t="shared" si="0"/>
        <v>0.3765517241379316</v>
      </c>
      <c r="E82" s="543">
        <f t="shared" si="1"/>
        <v>1</v>
      </c>
      <c r="F82" s="542">
        <v>8</v>
      </c>
      <c r="G82" s="47" t="s">
        <v>180</v>
      </c>
      <c r="H82" s="47">
        <f>INDEX(nrUrbLandUseSqFt,14)</f>
        <v>0</v>
      </c>
      <c r="I82" s="47">
        <f t="shared" si="4"/>
        <v>0</v>
      </c>
      <c r="K82" s="552"/>
      <c r="L82" s="553"/>
    </row>
    <row r="83" spans="2:12" ht="15">
      <c r="B83" s="199">
        <f t="shared" si="2"/>
        <v>2018</v>
      </c>
      <c r="C83" s="190">
        <f t="shared" si="3"/>
        <v>0.6224137931034477</v>
      </c>
      <c r="D83" s="190">
        <f t="shared" si="0"/>
        <v>0.3775862068965523</v>
      </c>
      <c r="E83" s="543">
        <f t="shared" si="1"/>
        <v>1</v>
      </c>
      <c r="F83" s="542">
        <v>8</v>
      </c>
      <c r="G83" s="47" t="s">
        <v>179</v>
      </c>
      <c r="H83" s="47">
        <f>INDEX(nrUrbLandUseSqFt,15)</f>
        <v>0</v>
      </c>
      <c r="I83" s="47">
        <f t="shared" si="4"/>
        <v>0</v>
      </c>
      <c r="K83" s="552"/>
      <c r="L83" s="553"/>
    </row>
    <row r="84" spans="2:12" ht="15">
      <c r="B84" s="199">
        <f t="shared" si="2"/>
        <v>2019</v>
      </c>
      <c r="C84" s="190">
        <f t="shared" si="3"/>
        <v>0.621379310344827</v>
      </c>
      <c r="D84" s="190">
        <f t="shared" si="0"/>
        <v>0.37862068965517304</v>
      </c>
      <c r="E84" s="543">
        <f t="shared" si="1"/>
        <v>1</v>
      </c>
      <c r="F84" s="542">
        <v>3</v>
      </c>
      <c r="G84" s="47" t="s">
        <v>178</v>
      </c>
      <c r="H84" s="47">
        <f>INDEX(nrUrbLandUseSqFt,16)</f>
        <v>0</v>
      </c>
      <c r="I84" s="47">
        <f t="shared" si="4"/>
        <v>0</v>
      </c>
      <c r="K84" s="552"/>
      <c r="L84" s="553"/>
    </row>
    <row r="85" spans="2:12" ht="15">
      <c r="B85" s="199">
        <f t="shared" si="2"/>
        <v>2020</v>
      </c>
      <c r="C85" s="190">
        <f t="shared" si="3"/>
        <v>0.6203448275862062</v>
      </c>
      <c r="D85" s="190">
        <f t="shared" si="0"/>
        <v>0.37965517241379376</v>
      </c>
      <c r="E85" s="543">
        <f t="shared" si="1"/>
        <v>1</v>
      </c>
      <c r="F85" s="542">
        <v>3</v>
      </c>
      <c r="G85" s="47" t="s">
        <v>176</v>
      </c>
      <c r="H85" s="47">
        <f>INDEX(nrUrbLandUseSqFt,17)</f>
        <v>0</v>
      </c>
      <c r="I85" s="47">
        <f t="shared" si="4"/>
        <v>0</v>
      </c>
      <c r="K85" s="552"/>
      <c r="L85" s="553"/>
    </row>
    <row r="86" spans="2:12" ht="15">
      <c r="B86" s="199">
        <f t="shared" si="2"/>
        <v>2021</v>
      </c>
      <c r="C86" s="190">
        <f t="shared" si="3"/>
        <v>0.6193103448275855</v>
      </c>
      <c r="D86" s="190">
        <f t="shared" si="0"/>
        <v>0.3806896551724145</v>
      </c>
      <c r="E86" s="543">
        <f t="shared" si="1"/>
        <v>1</v>
      </c>
      <c r="F86" s="542">
        <v>5</v>
      </c>
      <c r="G86" s="47" t="s">
        <v>174</v>
      </c>
      <c r="H86" s="47">
        <f>INDEX(nrUrbLandUseSqFt,18)</f>
        <v>0</v>
      </c>
      <c r="I86" s="47">
        <f t="shared" si="4"/>
        <v>0</v>
      </c>
      <c r="K86" s="552"/>
      <c r="L86" s="553"/>
    </row>
    <row r="87" spans="2:12" ht="15">
      <c r="B87" s="199">
        <f t="shared" si="2"/>
        <v>2022</v>
      </c>
      <c r="C87" s="190">
        <f t="shared" si="3"/>
        <v>0.6182758620689648</v>
      </c>
      <c r="D87" s="190">
        <f t="shared" si="0"/>
        <v>0.3817241379310352</v>
      </c>
      <c r="E87" s="543">
        <f t="shared" si="1"/>
        <v>1</v>
      </c>
      <c r="F87" s="542">
        <v>5</v>
      </c>
      <c r="G87" s="47" t="s">
        <v>173</v>
      </c>
      <c r="H87" s="47">
        <f>INDEX(nrUrbLandUseSqFt,19)</f>
        <v>0</v>
      </c>
      <c r="I87" s="47">
        <f t="shared" si="4"/>
        <v>0</v>
      </c>
      <c r="K87" s="552"/>
      <c r="L87" s="553"/>
    </row>
    <row r="88" spans="2:12" ht="15">
      <c r="B88" s="199">
        <f t="shared" si="2"/>
        <v>2023</v>
      </c>
      <c r="C88" s="190">
        <f t="shared" si="3"/>
        <v>0.6172413793103441</v>
      </c>
      <c r="D88" s="190">
        <f t="shared" si="0"/>
        <v>0.38275862068965594</v>
      </c>
      <c r="E88" s="543">
        <f t="shared" si="1"/>
        <v>1</v>
      </c>
      <c r="F88" s="542">
        <v>5</v>
      </c>
      <c r="G88" s="47" t="s">
        <v>172</v>
      </c>
      <c r="H88" s="47">
        <f>INDEX(nrUrbLandUseSqFt,20)</f>
        <v>0</v>
      </c>
      <c r="I88" s="47">
        <f t="shared" si="4"/>
        <v>0</v>
      </c>
      <c r="K88" s="552"/>
      <c r="L88" s="553"/>
    </row>
    <row r="89" spans="2:12" ht="15">
      <c r="B89" s="199">
        <f t="shared" si="2"/>
        <v>2024</v>
      </c>
      <c r="C89" s="190">
        <f t="shared" si="3"/>
        <v>0.6162068965517233</v>
      </c>
      <c r="D89" s="190">
        <f t="shared" si="0"/>
        <v>0.38379310344827666</v>
      </c>
      <c r="E89" s="543">
        <f t="shared" si="1"/>
        <v>1</v>
      </c>
      <c r="F89" s="542">
        <v>5</v>
      </c>
      <c r="G89" s="47" t="s">
        <v>168</v>
      </c>
      <c r="H89" s="47">
        <f>INDEX(nrUrbLandUseSqFt,21)</f>
        <v>0</v>
      </c>
      <c r="I89" s="47">
        <f t="shared" si="4"/>
        <v>0</v>
      </c>
      <c r="K89" s="552"/>
      <c r="L89" s="553"/>
    </row>
    <row r="90" spans="2:12" ht="15">
      <c r="B90" s="199">
        <f t="shared" si="2"/>
        <v>2025</v>
      </c>
      <c r="C90" s="190">
        <f t="shared" si="3"/>
        <v>0.6151724137931026</v>
      </c>
      <c r="D90" s="190">
        <f t="shared" si="0"/>
        <v>0.3848275862068974</v>
      </c>
      <c r="E90" s="543">
        <f t="shared" si="1"/>
        <v>1</v>
      </c>
      <c r="F90" s="542">
        <v>5</v>
      </c>
      <c r="G90" s="47" t="s">
        <v>166</v>
      </c>
      <c r="H90" s="47">
        <f>INDEX(nrUrbLandUseSqFt,22)</f>
        <v>0</v>
      </c>
      <c r="I90" s="47">
        <f t="shared" si="4"/>
        <v>0</v>
      </c>
      <c r="K90" s="552"/>
      <c r="L90" s="553"/>
    </row>
    <row r="91" spans="2:12" ht="15">
      <c r="B91" s="199">
        <f t="shared" si="2"/>
        <v>2026</v>
      </c>
      <c r="C91" s="190">
        <f t="shared" si="3"/>
        <v>0.6141379310344819</v>
      </c>
      <c r="D91" s="190">
        <f t="shared" si="0"/>
        <v>0.3858620689655181</v>
      </c>
      <c r="E91" s="543">
        <f t="shared" si="1"/>
        <v>1</v>
      </c>
      <c r="F91" s="542">
        <v>5</v>
      </c>
      <c r="G91" s="47" t="s">
        <v>164</v>
      </c>
      <c r="H91" s="47">
        <f>INDEX(nrUrbLandUseSqFt,23)</f>
        <v>0</v>
      </c>
      <c r="I91" s="47">
        <f t="shared" si="4"/>
        <v>0</v>
      </c>
      <c r="K91" s="552"/>
      <c r="L91" s="553"/>
    </row>
    <row r="92" spans="2:12" ht="15">
      <c r="B92" s="199">
        <f t="shared" si="2"/>
        <v>2027</v>
      </c>
      <c r="C92" s="190">
        <f t="shared" si="3"/>
        <v>0.6131034482758612</v>
      </c>
      <c r="D92" s="190">
        <f t="shared" si="0"/>
        <v>0.38689655172413884</v>
      </c>
      <c r="E92" s="543">
        <f t="shared" si="1"/>
        <v>1</v>
      </c>
      <c r="F92" s="542">
        <v>5</v>
      </c>
      <c r="G92" s="47" t="s">
        <v>163</v>
      </c>
      <c r="H92" s="47">
        <f>INDEX(nrUrbLandUseSqFt,24)</f>
        <v>0</v>
      </c>
      <c r="I92" s="47">
        <f t="shared" si="4"/>
        <v>0</v>
      </c>
      <c r="K92" s="552"/>
      <c r="L92" s="553"/>
    </row>
    <row r="93" spans="2:12" ht="15">
      <c r="B93" s="199">
        <f t="shared" si="2"/>
        <v>2028</v>
      </c>
      <c r="C93" s="190">
        <f t="shared" si="3"/>
        <v>0.6120689655172404</v>
      </c>
      <c r="D93" s="190">
        <f t="shared" si="0"/>
        <v>0.38793103448275956</v>
      </c>
      <c r="E93" s="543">
        <f t="shared" si="1"/>
        <v>1</v>
      </c>
      <c r="F93" s="542">
        <v>5</v>
      </c>
      <c r="G93" s="47" t="s">
        <v>162</v>
      </c>
      <c r="H93" s="47">
        <f>INDEX(nrUrbLandUseSqFt,25)</f>
        <v>0</v>
      </c>
      <c r="I93" s="47">
        <f t="shared" si="4"/>
        <v>0</v>
      </c>
      <c r="K93" s="552"/>
      <c r="L93" s="553"/>
    </row>
    <row r="94" spans="2:12" ht="15">
      <c r="B94" s="199">
        <f t="shared" si="2"/>
        <v>2029</v>
      </c>
      <c r="C94" s="190">
        <f t="shared" si="3"/>
        <v>0.6110344827586197</v>
      </c>
      <c r="D94" s="190">
        <f t="shared" si="0"/>
        <v>0.3889655172413803</v>
      </c>
      <c r="E94" s="543">
        <f t="shared" si="1"/>
        <v>1</v>
      </c>
      <c r="F94" s="542">
        <v>4</v>
      </c>
      <c r="G94" s="47" t="s">
        <v>161</v>
      </c>
      <c r="H94" s="47">
        <f>INDEX(nrUrbLandUseSqFt,26)</f>
        <v>0</v>
      </c>
      <c r="I94" s="47">
        <f t="shared" si="4"/>
        <v>0</v>
      </c>
      <c r="K94" s="552"/>
      <c r="L94" s="553"/>
    </row>
    <row r="95" spans="2:12" ht="15">
      <c r="B95" s="199">
        <f t="shared" si="2"/>
        <v>2030</v>
      </c>
      <c r="C95" s="190">
        <v>0.61</v>
      </c>
      <c r="D95" s="190">
        <f t="shared" si="0"/>
        <v>0.39</v>
      </c>
      <c r="E95" s="543">
        <f t="shared" si="1"/>
        <v>1</v>
      </c>
      <c r="F95" s="542">
        <v>4</v>
      </c>
      <c r="G95" s="47" t="s">
        <v>160</v>
      </c>
      <c r="H95" s="47">
        <f>INDEX(nrUrbLandUseSqFt,27)</f>
        <v>0</v>
      </c>
      <c r="I95" s="47">
        <f t="shared" si="4"/>
        <v>0</v>
      </c>
      <c r="K95" s="552"/>
      <c r="L95" s="553"/>
    </row>
    <row r="96" spans="6:12" ht="15">
      <c r="F96" s="544">
        <v>4</v>
      </c>
      <c r="G96" s="47" t="s">
        <v>159</v>
      </c>
      <c r="H96" s="47">
        <f>INDEX(nrUrbLandUseSqFt,28)</f>
        <v>0</v>
      </c>
      <c r="I96" s="47">
        <f t="shared" si="4"/>
        <v>0</v>
      </c>
      <c r="K96" s="552"/>
      <c r="L96" s="553"/>
    </row>
    <row r="97" spans="6:12" ht="15">
      <c r="F97" s="544">
        <v>9</v>
      </c>
      <c r="G97" s="47" t="s">
        <v>158</v>
      </c>
      <c r="H97" s="47">
        <f>INDEX(nrUrbLandUseSqFt,29)</f>
        <v>0</v>
      </c>
      <c r="I97" s="47">
        <f t="shared" si="4"/>
        <v>0</v>
      </c>
      <c r="K97" s="552"/>
      <c r="L97" s="553"/>
    </row>
    <row r="98" spans="2:12" ht="15">
      <c r="B98" s="189"/>
      <c r="C98" s="189" t="s">
        <v>223</v>
      </c>
      <c r="D98" s="189"/>
      <c r="E98" s="545"/>
      <c r="F98" s="542">
        <v>5</v>
      </c>
      <c r="G98" s="47" t="s">
        <v>157</v>
      </c>
      <c r="H98" s="47">
        <f>INDEX(nrUrbLandUseSqFt,30)</f>
        <v>0</v>
      </c>
      <c r="I98" s="47">
        <f t="shared" si="4"/>
        <v>0</v>
      </c>
      <c r="K98" s="552"/>
      <c r="L98" s="553"/>
    </row>
    <row r="99" spans="2:12" ht="45">
      <c r="B99" s="190" t="s">
        <v>56</v>
      </c>
      <c r="C99" s="203" t="s">
        <v>225</v>
      </c>
      <c r="D99" s="203" t="s">
        <v>226</v>
      </c>
      <c r="E99" s="546" t="s">
        <v>227</v>
      </c>
      <c r="F99" s="542">
        <v>11</v>
      </c>
      <c r="G99" s="47" t="s">
        <v>156</v>
      </c>
      <c r="H99" s="47">
        <f>INDEX(nrUrbLandUseSqFt,31)</f>
        <v>0</v>
      </c>
      <c r="I99" s="47">
        <f t="shared" si="4"/>
        <v>0</v>
      </c>
      <c r="K99" s="552"/>
      <c r="L99" s="553"/>
    </row>
    <row r="100" spans="2:12" ht="15">
      <c r="B100" s="199">
        <v>2001</v>
      </c>
      <c r="C100" s="280">
        <v>108</v>
      </c>
      <c r="D100" s="280">
        <v>75</v>
      </c>
      <c r="E100" s="547">
        <v>86</v>
      </c>
      <c r="F100" s="542">
        <v>11</v>
      </c>
      <c r="G100" s="47" t="s">
        <v>155</v>
      </c>
      <c r="H100" s="47">
        <f>INDEX(nrUrbLandUseSqFt,32)</f>
        <v>0</v>
      </c>
      <c r="I100" s="47">
        <f t="shared" si="4"/>
        <v>0</v>
      </c>
      <c r="K100" s="552"/>
      <c r="L100" s="553"/>
    </row>
    <row r="101" spans="2:12" ht="15">
      <c r="B101" s="199">
        <f aca="true" t="shared" si="5" ref="B101:B129">1+B100</f>
        <v>2002</v>
      </c>
      <c r="C101" s="280">
        <f aca="true" t="shared" si="6" ref="C101:C128">+($C$129-$C$100)/29+C100</f>
        <v>107.79310344827586</v>
      </c>
      <c r="D101" s="280">
        <f aca="true" t="shared" si="7" ref="D101:D128">+($D$129-$D$100)/29+D100</f>
        <v>74.72413793103448</v>
      </c>
      <c r="E101" s="547">
        <f aca="true" t="shared" si="8" ref="E101:E128">+($E$129-$E$100)/29+E100</f>
        <v>85.96551724137932</v>
      </c>
      <c r="F101" s="542">
        <v>11</v>
      </c>
      <c r="G101" s="47" t="s">
        <v>154</v>
      </c>
      <c r="H101" s="47">
        <f>INDEX(nrUrbLandUseSqFt,33)</f>
        <v>0</v>
      </c>
      <c r="I101" s="47">
        <f t="shared" si="4"/>
        <v>0</v>
      </c>
      <c r="K101" s="552"/>
      <c r="L101" s="553"/>
    </row>
    <row r="102" spans="2:12" ht="15">
      <c r="B102" s="199">
        <f t="shared" si="5"/>
        <v>2003</v>
      </c>
      <c r="C102" s="280">
        <f t="shared" si="6"/>
        <v>107.58620689655172</v>
      </c>
      <c r="D102" s="280">
        <f t="shared" si="7"/>
        <v>74.44827586206895</v>
      </c>
      <c r="E102" s="547">
        <f t="shared" si="8"/>
        <v>85.93103448275863</v>
      </c>
      <c r="F102" s="542">
        <v>11</v>
      </c>
      <c r="G102" s="47" t="s">
        <v>153</v>
      </c>
      <c r="H102" s="47">
        <f>INDEX(nrUrbLandUseSqFt,34)</f>
        <v>0</v>
      </c>
      <c r="I102" s="47">
        <f t="shared" si="4"/>
        <v>0</v>
      </c>
      <c r="K102" s="552"/>
      <c r="L102" s="553"/>
    </row>
    <row r="103" spans="2:12" ht="15">
      <c r="B103" s="199">
        <f t="shared" si="5"/>
        <v>2004</v>
      </c>
      <c r="C103" s="280">
        <f t="shared" si="6"/>
        <v>107.37931034482757</v>
      </c>
      <c r="D103" s="280">
        <f t="shared" si="7"/>
        <v>74.17241379310343</v>
      </c>
      <c r="E103" s="547">
        <f t="shared" si="8"/>
        <v>85.89655172413795</v>
      </c>
      <c r="F103" s="542">
        <v>5</v>
      </c>
      <c r="G103" s="47" t="s">
        <v>152</v>
      </c>
      <c r="H103" s="47">
        <f>INDEX(nrUrbLandUseSqFt,35)</f>
        <v>0</v>
      </c>
      <c r="I103" s="47">
        <f t="shared" si="4"/>
        <v>0</v>
      </c>
      <c r="K103" s="552"/>
      <c r="L103" s="553"/>
    </row>
    <row r="104" spans="2:12" ht="15">
      <c r="B104" s="199">
        <f t="shared" si="5"/>
        <v>2005</v>
      </c>
      <c r="C104" s="280">
        <f t="shared" si="6"/>
        <v>107.17241379310343</v>
      </c>
      <c r="D104" s="280">
        <f t="shared" si="7"/>
        <v>73.89655172413791</v>
      </c>
      <c r="E104" s="547">
        <f t="shared" si="8"/>
        <v>85.86206896551727</v>
      </c>
      <c r="F104" s="542">
        <v>5</v>
      </c>
      <c r="G104" s="47" t="s">
        <v>151</v>
      </c>
      <c r="H104" s="47">
        <f>INDEX(nrUrbLandUseSqFt,36)</f>
        <v>0</v>
      </c>
      <c r="I104" s="47">
        <f t="shared" si="4"/>
        <v>0</v>
      </c>
      <c r="K104" s="552"/>
      <c r="L104" s="553"/>
    </row>
    <row r="105" spans="2:12" ht="15">
      <c r="B105" s="199">
        <f t="shared" si="5"/>
        <v>2006</v>
      </c>
      <c r="C105" s="280">
        <f t="shared" si="6"/>
        <v>106.96551724137929</v>
      </c>
      <c r="D105" s="280">
        <f t="shared" si="7"/>
        <v>73.62068965517238</v>
      </c>
      <c r="E105" s="547">
        <f t="shared" si="8"/>
        <v>85.82758620689658</v>
      </c>
      <c r="F105" s="542">
        <v>10</v>
      </c>
      <c r="G105" s="47" t="s">
        <v>150</v>
      </c>
      <c r="H105" s="47">
        <f>INDEX(nrUrbLandUseSqFt,37)</f>
        <v>0</v>
      </c>
      <c r="I105" s="47">
        <f t="shared" si="4"/>
        <v>0</v>
      </c>
      <c r="K105" s="552"/>
      <c r="L105" s="553"/>
    </row>
    <row r="106" spans="2:12" ht="15">
      <c r="B106" s="199">
        <f t="shared" si="5"/>
        <v>2007</v>
      </c>
      <c r="C106" s="280">
        <f t="shared" si="6"/>
        <v>106.75862068965515</v>
      </c>
      <c r="D106" s="280">
        <f t="shared" si="7"/>
        <v>73.34482758620686</v>
      </c>
      <c r="E106" s="547">
        <f t="shared" si="8"/>
        <v>85.7931034482759</v>
      </c>
      <c r="F106" s="542">
        <v>10</v>
      </c>
      <c r="G106" s="47" t="s">
        <v>149</v>
      </c>
      <c r="H106" s="47">
        <f>INDEX(nrUrbLandUseSqFt,38)</f>
        <v>0</v>
      </c>
      <c r="I106" s="47">
        <f t="shared" si="4"/>
        <v>0</v>
      </c>
      <c r="K106" s="552"/>
      <c r="L106" s="553"/>
    </row>
    <row r="107" spans="2:12" ht="15">
      <c r="B107" s="199">
        <f t="shared" si="5"/>
        <v>2008</v>
      </c>
      <c r="C107" s="280">
        <f t="shared" si="6"/>
        <v>106.551724137931</v>
      </c>
      <c r="D107" s="280">
        <f t="shared" si="7"/>
        <v>73.06896551724134</v>
      </c>
      <c r="E107" s="547">
        <f t="shared" si="8"/>
        <v>85.75862068965522</v>
      </c>
      <c r="F107" s="542">
        <v>1</v>
      </c>
      <c r="G107" s="47" t="s">
        <v>148</v>
      </c>
      <c r="H107" s="47">
        <f>INDEX(nrUrbLandUseSqFt,39)</f>
        <v>0</v>
      </c>
      <c r="I107" s="47">
        <f t="shared" si="4"/>
        <v>0</v>
      </c>
      <c r="K107" s="552"/>
      <c r="L107" s="553"/>
    </row>
    <row r="108" spans="2:12" ht="15">
      <c r="B108" s="199">
        <f t="shared" si="5"/>
        <v>2009</v>
      </c>
      <c r="C108" s="280">
        <f t="shared" si="6"/>
        <v>106.34482758620686</v>
      </c>
      <c r="D108" s="280">
        <f t="shared" si="7"/>
        <v>72.79310344827582</v>
      </c>
      <c r="E108" s="547">
        <f t="shared" si="8"/>
        <v>85.72413793103453</v>
      </c>
      <c r="F108" s="542">
        <v>1</v>
      </c>
      <c r="G108" s="47" t="s">
        <v>147</v>
      </c>
      <c r="H108" s="47">
        <f>INDEX(nrUrbLandUseSqFt,40)</f>
        <v>0</v>
      </c>
      <c r="I108" s="47">
        <f t="shared" si="4"/>
        <v>0</v>
      </c>
      <c r="K108" s="552"/>
      <c r="L108" s="553"/>
    </row>
    <row r="109" spans="2:12" ht="15">
      <c r="B109" s="199">
        <f t="shared" si="5"/>
        <v>2010</v>
      </c>
      <c r="C109" s="280">
        <f t="shared" si="6"/>
        <v>106.13793103448272</v>
      </c>
      <c r="D109" s="280">
        <f t="shared" si="7"/>
        <v>72.51724137931029</v>
      </c>
      <c r="E109" s="547">
        <f t="shared" si="8"/>
        <v>85.68965517241385</v>
      </c>
      <c r="F109" s="542">
        <v>1</v>
      </c>
      <c r="G109" s="47" t="s">
        <v>146</v>
      </c>
      <c r="H109" s="47">
        <f>INDEX(nrUrbLandUseSqFt,41)</f>
        <v>0</v>
      </c>
      <c r="I109" s="47">
        <f t="shared" si="4"/>
        <v>0</v>
      </c>
      <c r="K109" s="552"/>
      <c r="L109" s="553"/>
    </row>
    <row r="110" spans="2:12" ht="15">
      <c r="B110" s="199">
        <f t="shared" si="5"/>
        <v>2011</v>
      </c>
      <c r="C110" s="280">
        <f t="shared" si="6"/>
        <v>105.93103448275858</v>
      </c>
      <c r="D110" s="280">
        <f t="shared" si="7"/>
        <v>72.24137931034477</v>
      </c>
      <c r="E110" s="547">
        <f t="shared" si="8"/>
        <v>85.65517241379317</v>
      </c>
      <c r="F110" s="542">
        <v>1</v>
      </c>
      <c r="G110" s="47" t="s">
        <v>145</v>
      </c>
      <c r="H110" s="47">
        <f>INDEX(nrUrbLandUseSqFt,42)</f>
        <v>0</v>
      </c>
      <c r="I110" s="47">
        <f t="shared" si="4"/>
        <v>0</v>
      </c>
      <c r="K110" s="552"/>
      <c r="L110" s="553"/>
    </row>
    <row r="111" spans="2:12" ht="15">
      <c r="B111" s="199">
        <f t="shared" si="5"/>
        <v>2012</v>
      </c>
      <c r="C111" s="280">
        <f t="shared" si="6"/>
        <v>105.72413793103443</v>
      </c>
      <c r="D111" s="280">
        <f t="shared" si="7"/>
        <v>71.96551724137925</v>
      </c>
      <c r="E111" s="547">
        <f t="shared" si="8"/>
        <v>85.62068965517248</v>
      </c>
      <c r="F111" s="542">
        <v>1</v>
      </c>
      <c r="G111" s="47" t="s">
        <v>144</v>
      </c>
      <c r="H111" s="47">
        <f>INDEX(nrUrbLandUseSqFt,43)</f>
        <v>0</v>
      </c>
      <c r="I111" s="47">
        <f t="shared" si="4"/>
        <v>0</v>
      </c>
      <c r="K111" s="552"/>
      <c r="L111" s="553"/>
    </row>
    <row r="112" spans="2:9" ht="15.75" thickBot="1">
      <c r="B112" s="199">
        <f t="shared" si="5"/>
        <v>2013</v>
      </c>
      <c r="C112" s="280">
        <f t="shared" si="6"/>
        <v>105.51724137931029</v>
      </c>
      <c r="D112" s="280">
        <f t="shared" si="7"/>
        <v>71.68965517241372</v>
      </c>
      <c r="E112" s="547">
        <f t="shared" si="8"/>
        <v>85.5862068965518</v>
      </c>
      <c r="F112" s="548"/>
      <c r="G112" s="549"/>
      <c r="H112" s="549"/>
      <c r="I112" s="549">
        <f>SUM(I66:I67,I69:I111,L70:L111)</f>
        <v>2397846.3322884035</v>
      </c>
    </row>
    <row r="113" spans="2:5" ht="16.5" thickBot="1" thickTop="1">
      <c r="B113" s="199">
        <f t="shared" si="5"/>
        <v>2014</v>
      </c>
      <c r="C113" s="280">
        <f t="shared" si="6"/>
        <v>105.31034482758615</v>
      </c>
      <c r="D113" s="280">
        <f t="shared" si="7"/>
        <v>71.4137931034482</v>
      </c>
      <c r="E113" s="547">
        <f t="shared" si="8"/>
        <v>85.55172413793112</v>
      </c>
    </row>
    <row r="114" spans="2:9" ht="15.75" thickTop="1">
      <c r="B114" s="199">
        <f t="shared" si="5"/>
        <v>2015</v>
      </c>
      <c r="C114" s="280">
        <f t="shared" si="6"/>
        <v>105.10344827586201</v>
      </c>
      <c r="D114" s="280">
        <f t="shared" si="7"/>
        <v>71.13793103448268</v>
      </c>
      <c r="E114" s="547">
        <f t="shared" si="8"/>
        <v>85.51724137931043</v>
      </c>
      <c r="F114" s="550"/>
      <c r="G114" s="551" t="s">
        <v>345</v>
      </c>
      <c r="H114" s="551"/>
      <c r="I114" s="551"/>
    </row>
    <row r="115" spans="2:9" ht="30">
      <c r="B115" s="199">
        <f t="shared" si="5"/>
        <v>2016</v>
      </c>
      <c r="C115" s="280">
        <f t="shared" si="6"/>
        <v>104.89655172413786</v>
      </c>
      <c r="D115" s="280">
        <f t="shared" si="7"/>
        <v>70.86206896551715</v>
      </c>
      <c r="E115" s="547">
        <f t="shared" si="8"/>
        <v>85.48275862068975</v>
      </c>
      <c r="F115" s="540"/>
      <c r="G115" s="47" t="s">
        <v>370</v>
      </c>
      <c r="H115" s="47" t="s">
        <v>63</v>
      </c>
      <c r="I115" s="55" t="s">
        <v>211</v>
      </c>
    </row>
    <row r="116" spans="2:9" ht="15">
      <c r="B116" s="199">
        <f t="shared" si="5"/>
        <v>2017</v>
      </c>
      <c r="C116" s="280">
        <f t="shared" si="6"/>
        <v>104.68965517241372</v>
      </c>
      <c r="D116" s="280">
        <f t="shared" si="7"/>
        <v>70.58620689655163</v>
      </c>
      <c r="E116" s="547">
        <f t="shared" si="8"/>
        <v>85.44827586206907</v>
      </c>
      <c r="F116" s="540"/>
      <c r="G116" s="47" t="s">
        <v>240</v>
      </c>
      <c r="H116" s="47">
        <f>nrBaseSingleFamilyUnits</f>
        <v>0</v>
      </c>
      <c r="I116" s="55">
        <f>VLOOKUP(nrProjectYear,nrWaterUse,2)*H116*nrSingleFamilysize*365</f>
        <v>0</v>
      </c>
    </row>
    <row r="117" spans="2:9" ht="15">
      <c r="B117" s="199">
        <f t="shared" si="5"/>
        <v>2018</v>
      </c>
      <c r="C117" s="280">
        <f t="shared" si="6"/>
        <v>104.48275862068958</v>
      </c>
      <c r="D117" s="280">
        <f t="shared" si="7"/>
        <v>70.3103448275861</v>
      </c>
      <c r="E117" s="547">
        <f t="shared" si="8"/>
        <v>85.41379310344838</v>
      </c>
      <c r="F117" s="540"/>
      <c r="G117" s="47" t="s">
        <v>241</v>
      </c>
      <c r="H117" s="47">
        <f>nrBaseMultiFamilyUnits</f>
        <v>0</v>
      </c>
      <c r="I117" s="55">
        <f>VLOOKUP(nrProjectYear,nrWaterUse,3)*H117*nrMultiFamilySize*365</f>
        <v>0</v>
      </c>
    </row>
    <row r="118" spans="2:12" ht="30">
      <c r="B118" s="199">
        <f t="shared" si="5"/>
        <v>2019</v>
      </c>
      <c r="C118" s="280">
        <f t="shared" si="6"/>
        <v>104.27586206896544</v>
      </c>
      <c r="D118" s="280">
        <f t="shared" si="7"/>
        <v>70.03448275862058</v>
      </c>
      <c r="E118" s="547">
        <f t="shared" si="8"/>
        <v>85.3793103448277</v>
      </c>
      <c r="F118" s="541" t="s">
        <v>228</v>
      </c>
      <c r="G118" s="47" t="s">
        <v>371</v>
      </c>
      <c r="H118" s="47" t="s">
        <v>212</v>
      </c>
      <c r="I118" s="55" t="s">
        <v>211</v>
      </c>
      <c r="K118" s="559" t="s">
        <v>715</v>
      </c>
      <c r="L118" s="560"/>
    </row>
    <row r="119" spans="2:12" ht="30">
      <c r="B119" s="199">
        <f t="shared" si="5"/>
        <v>2020</v>
      </c>
      <c r="C119" s="280">
        <f t="shared" si="6"/>
        <v>104.0689655172413</v>
      </c>
      <c r="D119" s="280">
        <f t="shared" si="7"/>
        <v>69.75862068965506</v>
      </c>
      <c r="E119" s="547">
        <f t="shared" si="8"/>
        <v>85.34482758620702</v>
      </c>
      <c r="F119" s="542">
        <v>6</v>
      </c>
      <c r="G119" s="47" t="s">
        <v>209</v>
      </c>
      <c r="H119" s="47">
        <f>INDEX(nrBaseLandUseSqFt,1)</f>
        <v>0</v>
      </c>
      <c r="I119" s="47">
        <f aca="true" t="shared" si="9" ref="I119:I161">(H119*1000/VLOOKUP(F119,nrSqFtPerEmployee,4))*VLOOKUP(nrProjectYear,nrWaterUse,4)*365</f>
        <v>0</v>
      </c>
      <c r="K119" s="559" t="s">
        <v>712</v>
      </c>
      <c r="L119" s="572" t="s">
        <v>713</v>
      </c>
    </row>
    <row r="120" spans="2:12" ht="15">
      <c r="B120" s="199">
        <f t="shared" si="5"/>
        <v>2021</v>
      </c>
      <c r="C120" s="280">
        <f t="shared" si="6"/>
        <v>103.86206896551715</v>
      </c>
      <c r="D120" s="280">
        <f t="shared" si="7"/>
        <v>69.48275862068954</v>
      </c>
      <c r="E120" s="547">
        <f t="shared" si="8"/>
        <v>85.31034482758633</v>
      </c>
      <c r="F120" s="542">
        <v>6</v>
      </c>
      <c r="G120" s="47" t="s">
        <v>206</v>
      </c>
      <c r="H120" s="47">
        <f>INDEX(nrBaseLandUseSqFt,2)</f>
        <v>0</v>
      </c>
      <c r="I120" s="47">
        <f t="shared" si="9"/>
        <v>0</v>
      </c>
      <c r="K120" s="552"/>
      <c r="L120" s="553"/>
    </row>
    <row r="121" spans="2:12" ht="15">
      <c r="B121" s="199">
        <f t="shared" si="5"/>
        <v>2022</v>
      </c>
      <c r="C121" s="280">
        <f t="shared" si="6"/>
        <v>103.65517241379301</v>
      </c>
      <c r="D121" s="280">
        <f t="shared" si="7"/>
        <v>69.20689655172401</v>
      </c>
      <c r="E121" s="547">
        <f t="shared" si="8"/>
        <v>85.27586206896565</v>
      </c>
      <c r="F121" s="542">
        <v>6</v>
      </c>
      <c r="G121" s="47" t="s">
        <v>203</v>
      </c>
      <c r="H121" s="47">
        <f>INDEX(nrBaseLandUseSqFt,3)</f>
        <v>0</v>
      </c>
      <c r="I121" s="47">
        <f t="shared" si="9"/>
        <v>0</v>
      </c>
      <c r="K121" s="552"/>
      <c r="L121" s="553"/>
    </row>
    <row r="122" spans="2:12" ht="15">
      <c r="B122" s="199">
        <f t="shared" si="5"/>
        <v>2023</v>
      </c>
      <c r="C122" s="280">
        <f t="shared" si="6"/>
        <v>103.44827586206887</v>
      </c>
      <c r="D122" s="280">
        <f t="shared" si="7"/>
        <v>68.93103448275849</v>
      </c>
      <c r="E122" s="547">
        <f t="shared" si="8"/>
        <v>85.24137931034497</v>
      </c>
      <c r="F122" s="542">
        <v>6</v>
      </c>
      <c r="G122" s="47" t="s">
        <v>201</v>
      </c>
      <c r="H122" s="47">
        <f>INDEX(nrBaseLandUseSqFt,4)</f>
        <v>0</v>
      </c>
      <c r="I122" s="47">
        <f t="shared" si="9"/>
        <v>0</v>
      </c>
      <c r="K122" s="552"/>
      <c r="L122" s="553"/>
    </row>
    <row r="123" spans="2:12" ht="15">
      <c r="B123" s="199">
        <f t="shared" si="5"/>
        <v>2024</v>
      </c>
      <c r="C123" s="280">
        <f t="shared" si="6"/>
        <v>103.24137931034473</v>
      </c>
      <c r="D123" s="280">
        <f t="shared" si="7"/>
        <v>68.65517241379297</v>
      </c>
      <c r="E123" s="547">
        <f t="shared" si="8"/>
        <v>85.20689655172428</v>
      </c>
      <c r="F123" s="542">
        <v>6</v>
      </c>
      <c r="G123" s="47" t="s">
        <v>199</v>
      </c>
      <c r="H123" s="47">
        <f>INDEX(nrBaseLandUseSqFt,5)</f>
        <v>0</v>
      </c>
      <c r="I123" s="47">
        <f t="shared" si="9"/>
        <v>0</v>
      </c>
      <c r="K123" s="552"/>
      <c r="L123" s="553"/>
    </row>
    <row r="124" spans="2:12" ht="15">
      <c r="B124" s="199">
        <f t="shared" si="5"/>
        <v>2025</v>
      </c>
      <c r="C124" s="280">
        <f t="shared" si="6"/>
        <v>103.03448275862058</v>
      </c>
      <c r="D124" s="280">
        <f t="shared" si="7"/>
        <v>68.37931034482745</v>
      </c>
      <c r="E124" s="547">
        <f t="shared" si="8"/>
        <v>85.1724137931036</v>
      </c>
      <c r="F124" s="542">
        <v>6</v>
      </c>
      <c r="G124" s="47" t="s">
        <v>197</v>
      </c>
      <c r="H124" s="47">
        <f>INDEX(nrBaseLandUseSqFt,6)</f>
        <v>0</v>
      </c>
      <c r="I124" s="47">
        <f t="shared" si="9"/>
        <v>0</v>
      </c>
      <c r="K124" s="552"/>
      <c r="L124" s="553"/>
    </row>
    <row r="125" spans="2:12" ht="15">
      <c r="B125" s="199">
        <f t="shared" si="5"/>
        <v>2026</v>
      </c>
      <c r="C125" s="280">
        <f t="shared" si="6"/>
        <v>102.82758620689644</v>
      </c>
      <c r="D125" s="280">
        <f t="shared" si="7"/>
        <v>68.10344827586192</v>
      </c>
      <c r="E125" s="547">
        <f t="shared" si="8"/>
        <v>85.13793103448292</v>
      </c>
      <c r="F125" s="542">
        <v>6</v>
      </c>
      <c r="G125" s="47" t="s">
        <v>195</v>
      </c>
      <c r="H125" s="47">
        <f>INDEX(nrBaseLandUseSqFt,7)</f>
        <v>0</v>
      </c>
      <c r="I125" s="47">
        <f t="shared" si="9"/>
        <v>0</v>
      </c>
      <c r="K125" s="552"/>
      <c r="L125" s="553"/>
    </row>
    <row r="126" spans="2:12" ht="15">
      <c r="B126" s="199">
        <f t="shared" si="5"/>
        <v>2027</v>
      </c>
      <c r="C126" s="280">
        <f t="shared" si="6"/>
        <v>102.6206896551723</v>
      </c>
      <c r="D126" s="280">
        <f t="shared" si="7"/>
        <v>67.8275862068964</v>
      </c>
      <c r="E126" s="547">
        <f t="shared" si="8"/>
        <v>85.10344827586223</v>
      </c>
      <c r="F126" s="542">
        <v>9</v>
      </c>
      <c r="G126" s="47" t="s">
        <v>193</v>
      </c>
      <c r="H126" s="47">
        <f>INDEX(nrBaseLandUseSqFt,8)</f>
        <v>0</v>
      </c>
      <c r="I126" s="47">
        <f t="shared" si="9"/>
        <v>0</v>
      </c>
      <c r="K126" s="552"/>
      <c r="L126" s="553"/>
    </row>
    <row r="127" spans="2:12" ht="15">
      <c r="B127" s="199">
        <f t="shared" si="5"/>
        <v>2028</v>
      </c>
      <c r="C127" s="280">
        <f t="shared" si="6"/>
        <v>102.41379310344816</v>
      </c>
      <c r="D127" s="280">
        <f t="shared" si="7"/>
        <v>67.55172413793088</v>
      </c>
      <c r="E127" s="547">
        <f t="shared" si="8"/>
        <v>85.06896551724155</v>
      </c>
      <c r="F127" s="542">
        <v>2</v>
      </c>
      <c r="G127" s="47" t="s">
        <v>190</v>
      </c>
      <c r="H127" s="47">
        <f>INDEX(nrBaseLandUseSqFt,9)</f>
        <v>0</v>
      </c>
      <c r="I127" s="47">
        <f t="shared" si="9"/>
        <v>0</v>
      </c>
      <c r="K127" s="552"/>
      <c r="L127" s="553"/>
    </row>
    <row r="128" spans="2:12" ht="15">
      <c r="B128" s="199">
        <f t="shared" si="5"/>
        <v>2029</v>
      </c>
      <c r="C128" s="280">
        <f t="shared" si="6"/>
        <v>102.20689655172401</v>
      </c>
      <c r="D128" s="280">
        <f t="shared" si="7"/>
        <v>67.27586206896535</v>
      </c>
      <c r="E128" s="547">
        <f t="shared" si="8"/>
        <v>85.03448275862087</v>
      </c>
      <c r="F128" s="542">
        <v>5</v>
      </c>
      <c r="G128" s="47" t="s">
        <v>188</v>
      </c>
      <c r="H128" s="47">
        <f>INDEX(nrBaseLandUseSqFt,10)</f>
        <v>0</v>
      </c>
      <c r="I128" s="47">
        <f t="shared" si="9"/>
        <v>0</v>
      </c>
      <c r="K128" s="552"/>
      <c r="L128" s="553"/>
    </row>
    <row r="129" spans="2:12" ht="15">
      <c r="B129" s="199">
        <f t="shared" si="5"/>
        <v>2030</v>
      </c>
      <c r="C129" s="280">
        <v>102</v>
      </c>
      <c r="D129" s="280">
        <v>67</v>
      </c>
      <c r="E129" s="547">
        <v>85</v>
      </c>
      <c r="F129" s="542">
        <v>5</v>
      </c>
      <c r="G129" s="47" t="s">
        <v>186</v>
      </c>
      <c r="H129" s="47">
        <f>INDEX(nrBaseLandUseSqFt,11)</f>
        <v>0</v>
      </c>
      <c r="I129" s="47">
        <f t="shared" si="9"/>
        <v>0</v>
      </c>
      <c r="K129" s="552"/>
      <c r="L129" s="553"/>
    </row>
    <row r="130" spans="3:12" ht="15">
      <c r="C130" s="299"/>
      <c r="D130" s="299"/>
      <c r="E130" s="299"/>
      <c r="F130" s="56">
        <v>8</v>
      </c>
      <c r="G130" s="47" t="s">
        <v>184</v>
      </c>
      <c r="H130" s="47">
        <f>INDEX(nrBaseLandUseSqFt,12)</f>
        <v>0</v>
      </c>
      <c r="I130" s="47">
        <f t="shared" si="9"/>
        <v>0</v>
      </c>
      <c r="K130" s="552"/>
      <c r="L130" s="553"/>
    </row>
    <row r="131" spans="2:12" ht="15" customHeight="1">
      <c r="B131" s="44" t="s">
        <v>106</v>
      </c>
      <c r="F131" s="56">
        <v>8</v>
      </c>
      <c r="G131" s="47" t="s">
        <v>183</v>
      </c>
      <c r="H131" s="47">
        <f>INDEX(nrBaseLandUseSqFt,13)</f>
        <v>0</v>
      </c>
      <c r="I131" s="47">
        <f t="shared" si="9"/>
        <v>0</v>
      </c>
      <c r="K131" s="552"/>
      <c r="L131" s="553"/>
    </row>
    <row r="132" spans="2:12" ht="15">
      <c r="B132" s="595" t="s">
        <v>215</v>
      </c>
      <c r="C132" s="595"/>
      <c r="D132" s="595"/>
      <c r="F132" s="56">
        <v>8</v>
      </c>
      <c r="G132" s="47" t="s">
        <v>180</v>
      </c>
      <c r="H132" s="47">
        <f>INDEX(nrBaseLandUseSqFt,14)</f>
        <v>0</v>
      </c>
      <c r="I132" s="47">
        <f t="shared" si="9"/>
        <v>0</v>
      </c>
      <c r="K132" s="552"/>
      <c r="L132" s="553"/>
    </row>
    <row r="133" spans="2:12" ht="15">
      <c r="B133" s="596"/>
      <c r="C133" s="596"/>
      <c r="D133" s="596"/>
      <c r="F133" s="56">
        <v>8</v>
      </c>
      <c r="G133" s="47" t="s">
        <v>179</v>
      </c>
      <c r="H133" s="47">
        <f>INDEX(nrBaseLandUseSqFt,15)</f>
        <v>0</v>
      </c>
      <c r="I133" s="47">
        <f t="shared" si="9"/>
        <v>0</v>
      </c>
      <c r="K133" s="552"/>
      <c r="L133" s="553"/>
    </row>
    <row r="134" spans="2:12" ht="15">
      <c r="B134" s="596"/>
      <c r="C134" s="596"/>
      <c r="D134" s="596"/>
      <c r="F134" s="56">
        <v>3</v>
      </c>
      <c r="G134" s="47" t="s">
        <v>178</v>
      </c>
      <c r="H134" s="47">
        <f>INDEX(nrBaseLandUseSqFt,16)</f>
        <v>0</v>
      </c>
      <c r="I134" s="47">
        <f t="shared" si="9"/>
        <v>0</v>
      </c>
      <c r="K134" s="552"/>
      <c r="L134" s="553"/>
    </row>
    <row r="135" spans="2:12" ht="15">
      <c r="B135" s="596"/>
      <c r="C135" s="596"/>
      <c r="D135" s="596"/>
      <c r="F135" s="56">
        <v>3</v>
      </c>
      <c r="G135" s="47" t="s">
        <v>176</v>
      </c>
      <c r="H135" s="47">
        <f>INDEX(nrBaseLandUseSqFt,17)</f>
        <v>0</v>
      </c>
      <c r="I135" s="47">
        <f t="shared" si="9"/>
        <v>0</v>
      </c>
      <c r="K135" s="552"/>
      <c r="L135" s="553"/>
    </row>
    <row r="136" spans="2:12" ht="15">
      <c r="B136" s="49"/>
      <c r="C136" s="49"/>
      <c r="D136" s="49"/>
      <c r="F136" s="56">
        <v>5</v>
      </c>
      <c r="G136" s="47" t="s">
        <v>174</v>
      </c>
      <c r="H136" s="47">
        <f>INDEX(nrBaseLandUseSqFt,18)</f>
        <v>0</v>
      </c>
      <c r="I136" s="47">
        <f t="shared" si="9"/>
        <v>0</v>
      </c>
      <c r="K136" s="552"/>
      <c r="L136" s="553"/>
    </row>
    <row r="137" spans="2:12" ht="15">
      <c r="B137" s="49"/>
      <c r="C137" s="49"/>
      <c r="D137" s="49"/>
      <c r="F137" s="56">
        <v>5</v>
      </c>
      <c r="G137" s="47" t="s">
        <v>173</v>
      </c>
      <c r="H137" s="47">
        <f>INDEX(nrBaseLandUseSqFt,19)</f>
        <v>0</v>
      </c>
      <c r="I137" s="47">
        <f t="shared" si="9"/>
        <v>0</v>
      </c>
      <c r="K137" s="552"/>
      <c r="L137" s="553"/>
    </row>
    <row r="138" spans="2:12" ht="15">
      <c r="B138" s="49"/>
      <c r="C138" s="49"/>
      <c r="D138" s="49"/>
      <c r="F138" s="56">
        <v>5</v>
      </c>
      <c r="G138" s="47" t="s">
        <v>172</v>
      </c>
      <c r="H138" s="47">
        <f>INDEX(nrBaseLandUseSqFt,20)</f>
        <v>0</v>
      </c>
      <c r="I138" s="47">
        <f t="shared" si="9"/>
        <v>0</v>
      </c>
      <c r="K138" s="552"/>
      <c r="L138" s="553"/>
    </row>
    <row r="139" spans="2:12" ht="15">
      <c r="B139" s="49"/>
      <c r="C139" s="49"/>
      <c r="D139" s="49"/>
      <c r="F139" s="56">
        <v>5</v>
      </c>
      <c r="G139" s="47" t="s">
        <v>168</v>
      </c>
      <c r="H139" s="47">
        <f>INDEX(nrBaseLandUseSqFt,21)</f>
        <v>0</v>
      </c>
      <c r="I139" s="47">
        <f t="shared" si="9"/>
        <v>0</v>
      </c>
      <c r="K139" s="552"/>
      <c r="L139" s="553"/>
    </row>
    <row r="140" spans="6:12" ht="15">
      <c r="F140" s="56">
        <v>5</v>
      </c>
      <c r="G140" s="47" t="s">
        <v>166</v>
      </c>
      <c r="H140" s="47">
        <f>INDEX(nrBaseLandUseSqFt,22)</f>
        <v>0</v>
      </c>
      <c r="I140" s="47">
        <f t="shared" si="9"/>
        <v>0</v>
      </c>
      <c r="K140" s="552"/>
      <c r="L140" s="553"/>
    </row>
    <row r="141" spans="6:12" ht="15">
      <c r="F141" s="56">
        <v>5</v>
      </c>
      <c r="G141" s="47" t="s">
        <v>164</v>
      </c>
      <c r="H141" s="47">
        <f>INDEX(nrBaseLandUseSqFt,23)</f>
        <v>0</v>
      </c>
      <c r="I141" s="47">
        <f t="shared" si="9"/>
        <v>0</v>
      </c>
      <c r="K141" s="552"/>
      <c r="L141" s="553"/>
    </row>
    <row r="142" spans="6:12" ht="15">
      <c r="F142" s="56">
        <v>5</v>
      </c>
      <c r="G142" s="47" t="s">
        <v>163</v>
      </c>
      <c r="H142" s="47">
        <f>INDEX(nrBaseLandUseSqFt,24)</f>
        <v>0</v>
      </c>
      <c r="I142" s="47">
        <f t="shared" si="9"/>
        <v>0</v>
      </c>
      <c r="K142" s="552"/>
      <c r="L142" s="553"/>
    </row>
    <row r="143" spans="6:12" ht="15">
      <c r="F143" s="56">
        <v>5</v>
      </c>
      <c r="G143" s="47" t="s">
        <v>162</v>
      </c>
      <c r="H143" s="47">
        <f>INDEX(nrBaseLandUseSqFt,25)</f>
        <v>0</v>
      </c>
      <c r="I143" s="47">
        <f t="shared" si="9"/>
        <v>0</v>
      </c>
      <c r="K143" s="552"/>
      <c r="L143" s="553"/>
    </row>
    <row r="144" spans="6:12" ht="15">
      <c r="F144" s="56">
        <v>4</v>
      </c>
      <c r="G144" s="47" t="s">
        <v>161</v>
      </c>
      <c r="H144" s="47">
        <f>INDEX(nrBaseLandUseSqFt,26)</f>
        <v>0</v>
      </c>
      <c r="I144" s="47">
        <f t="shared" si="9"/>
        <v>0</v>
      </c>
      <c r="K144" s="552"/>
      <c r="L144" s="553"/>
    </row>
    <row r="145" spans="6:12" ht="15">
      <c r="F145" s="56">
        <v>4</v>
      </c>
      <c r="G145" s="47" t="s">
        <v>160</v>
      </c>
      <c r="H145" s="47">
        <f>INDEX(nrBaseLandUseSqFt,27)</f>
        <v>0</v>
      </c>
      <c r="I145" s="47">
        <f t="shared" si="9"/>
        <v>0</v>
      </c>
      <c r="K145" s="552"/>
      <c r="L145" s="553"/>
    </row>
    <row r="146" spans="6:12" ht="15">
      <c r="F146" s="56">
        <v>4</v>
      </c>
      <c r="G146" s="47" t="s">
        <v>159</v>
      </c>
      <c r="H146" s="47">
        <f>INDEX(nrBaseLandUseSqFt,28)</f>
        <v>0</v>
      </c>
      <c r="I146" s="47">
        <f t="shared" si="9"/>
        <v>0</v>
      </c>
      <c r="K146" s="552"/>
      <c r="L146" s="553"/>
    </row>
    <row r="147" spans="6:12" ht="15">
      <c r="F147" s="56">
        <v>9</v>
      </c>
      <c r="G147" s="47" t="s">
        <v>158</v>
      </c>
      <c r="H147" s="47">
        <f>INDEX(nrBaseLandUseSqFt,29)</f>
        <v>0</v>
      </c>
      <c r="I147" s="47">
        <f t="shared" si="9"/>
        <v>0</v>
      </c>
      <c r="K147" s="552"/>
      <c r="L147" s="553"/>
    </row>
    <row r="148" spans="6:12" ht="15">
      <c r="F148" s="56">
        <v>5</v>
      </c>
      <c r="G148" s="47" t="s">
        <v>157</v>
      </c>
      <c r="H148" s="47">
        <f>INDEX(nrBaseLandUseSqFt,30)</f>
        <v>0</v>
      </c>
      <c r="I148" s="47">
        <f t="shared" si="9"/>
        <v>0</v>
      </c>
      <c r="K148" s="552"/>
      <c r="L148" s="553"/>
    </row>
    <row r="149" spans="6:12" ht="15">
      <c r="F149" s="56">
        <v>11</v>
      </c>
      <c r="G149" s="47" t="s">
        <v>156</v>
      </c>
      <c r="H149" s="47">
        <f>INDEX(nrBaseLandUseSqFt,31)</f>
        <v>0</v>
      </c>
      <c r="I149" s="47">
        <f t="shared" si="9"/>
        <v>0</v>
      </c>
      <c r="K149" s="552"/>
      <c r="L149" s="553"/>
    </row>
    <row r="150" spans="6:12" ht="15">
      <c r="F150" s="56">
        <v>11</v>
      </c>
      <c r="G150" s="47" t="s">
        <v>155</v>
      </c>
      <c r="H150" s="47">
        <f>INDEX(nrBaseLandUseSqFt,32)</f>
        <v>0</v>
      </c>
      <c r="I150" s="47">
        <f t="shared" si="9"/>
        <v>0</v>
      </c>
      <c r="K150" s="552"/>
      <c r="L150" s="553"/>
    </row>
    <row r="151" spans="6:12" ht="15">
      <c r="F151" s="56">
        <v>11</v>
      </c>
      <c r="G151" s="47" t="s">
        <v>154</v>
      </c>
      <c r="H151" s="47">
        <f>INDEX(nrBaseLandUseSqFt,33)</f>
        <v>0</v>
      </c>
      <c r="I151" s="47">
        <f t="shared" si="9"/>
        <v>0</v>
      </c>
      <c r="K151" s="552"/>
      <c r="L151" s="553"/>
    </row>
    <row r="152" spans="6:12" ht="15">
      <c r="F152" s="56">
        <v>11</v>
      </c>
      <c r="G152" s="47" t="s">
        <v>153</v>
      </c>
      <c r="H152" s="47">
        <f>INDEX(nrBaseLandUseSqFt,34)</f>
        <v>0</v>
      </c>
      <c r="I152" s="47">
        <f t="shared" si="9"/>
        <v>0</v>
      </c>
      <c r="K152" s="552"/>
      <c r="L152" s="553"/>
    </row>
    <row r="153" spans="6:12" ht="15">
      <c r="F153" s="56">
        <v>5</v>
      </c>
      <c r="G153" s="47" t="s">
        <v>152</v>
      </c>
      <c r="H153" s="47">
        <f>INDEX(nrBaseLandUseSqFt,35)</f>
        <v>0</v>
      </c>
      <c r="I153" s="47">
        <f t="shared" si="9"/>
        <v>0</v>
      </c>
      <c r="K153" s="552"/>
      <c r="L153" s="553"/>
    </row>
    <row r="154" spans="6:12" ht="15">
      <c r="F154" s="56">
        <v>5</v>
      </c>
      <c r="G154" s="47" t="s">
        <v>151</v>
      </c>
      <c r="H154" s="47">
        <f>INDEX(nrBaseLandUseSqFt,36)</f>
        <v>0</v>
      </c>
      <c r="I154" s="47">
        <f t="shared" si="9"/>
        <v>0</v>
      </c>
      <c r="K154" s="552"/>
      <c r="L154" s="553"/>
    </row>
    <row r="155" spans="6:12" ht="15">
      <c r="F155" s="56">
        <v>10</v>
      </c>
      <c r="G155" s="47" t="s">
        <v>150</v>
      </c>
      <c r="H155" s="47">
        <f>INDEX(nrBaseLandUseSqFt,37)</f>
        <v>0</v>
      </c>
      <c r="I155" s="47">
        <f t="shared" si="9"/>
        <v>0</v>
      </c>
      <c r="K155" s="552"/>
      <c r="L155" s="553"/>
    </row>
    <row r="156" spans="6:12" ht="15">
      <c r="F156" s="56">
        <v>10</v>
      </c>
      <c r="G156" s="47" t="s">
        <v>149</v>
      </c>
      <c r="H156" s="47">
        <f>INDEX(nrBaseLandUseSqFt,38)</f>
        <v>0</v>
      </c>
      <c r="I156" s="47">
        <f t="shared" si="9"/>
        <v>0</v>
      </c>
      <c r="K156" s="552"/>
      <c r="L156" s="553"/>
    </row>
    <row r="157" spans="6:12" ht="15">
      <c r="F157" s="56">
        <v>1</v>
      </c>
      <c r="G157" s="47" t="s">
        <v>148</v>
      </c>
      <c r="H157" s="47">
        <f>INDEX(nrBaseLandUseSqFt,39)</f>
        <v>0</v>
      </c>
      <c r="I157" s="47">
        <f t="shared" si="9"/>
        <v>0</v>
      </c>
      <c r="K157" s="552"/>
      <c r="L157" s="553"/>
    </row>
    <row r="158" spans="6:12" ht="15">
      <c r="F158" s="56">
        <v>1</v>
      </c>
      <c r="G158" s="47" t="s">
        <v>147</v>
      </c>
      <c r="H158" s="47">
        <f>INDEX(nrBaseLandUseSqFt,40)</f>
        <v>0</v>
      </c>
      <c r="I158" s="47">
        <f t="shared" si="9"/>
        <v>0</v>
      </c>
      <c r="K158" s="552"/>
      <c r="L158" s="553"/>
    </row>
    <row r="159" spans="6:12" ht="15">
      <c r="F159" s="56">
        <v>1</v>
      </c>
      <c r="G159" s="47" t="s">
        <v>146</v>
      </c>
      <c r="H159" s="47">
        <f>INDEX(nrBaseLandUseSqFt,41)</f>
        <v>0</v>
      </c>
      <c r="I159" s="47">
        <f t="shared" si="9"/>
        <v>0</v>
      </c>
      <c r="K159" s="552"/>
      <c r="L159" s="553"/>
    </row>
    <row r="160" spans="6:12" ht="15">
      <c r="F160" s="56">
        <v>1</v>
      </c>
      <c r="G160" s="47" t="s">
        <v>145</v>
      </c>
      <c r="H160" s="47">
        <f>INDEX(nrBaseLandUseSqFt,42)</f>
        <v>0</v>
      </c>
      <c r="I160" s="47">
        <f t="shared" si="9"/>
        <v>0</v>
      </c>
      <c r="K160" s="552"/>
      <c r="L160" s="553"/>
    </row>
    <row r="161" spans="6:12" ht="15">
      <c r="F161" s="56">
        <v>1</v>
      </c>
      <c r="G161" s="47" t="s">
        <v>144</v>
      </c>
      <c r="H161" s="47">
        <f>INDEX(nrBaseLandUseSqFt,43)</f>
        <v>0</v>
      </c>
      <c r="I161" s="47">
        <f t="shared" si="9"/>
        <v>0</v>
      </c>
      <c r="K161" s="552"/>
      <c r="L161" s="553"/>
    </row>
    <row r="162" spans="6:12" ht="15">
      <c r="F162" s="47"/>
      <c r="G162" s="47"/>
      <c r="H162" s="47"/>
      <c r="I162" s="47">
        <f>SUM(I116:I117,I119:I161,L120,L161)</f>
        <v>0</v>
      </c>
      <c r="K162"/>
      <c r="L162"/>
    </row>
    <row r="163" spans="11:12" ht="15">
      <c r="K163"/>
      <c r="L163"/>
    </row>
    <row r="164" spans="11:12" ht="15">
      <c r="K164"/>
      <c r="L164"/>
    </row>
    <row r="165" spans="11:12" ht="15">
      <c r="K165"/>
      <c r="L165"/>
    </row>
  </sheetData>
  <sheetProtection password="A20C" sheet="1" objects="1" scenarios="1"/>
  <mergeCells count="5">
    <mergeCell ref="B132:D135"/>
    <mergeCell ref="I25:L27"/>
    <mergeCell ref="B3:F3"/>
    <mergeCell ref="C6:E6"/>
    <mergeCell ref="H6:J6"/>
  </mergeCells>
  <hyperlinks>
    <hyperlink ref="I28" r:id="rId1" display="http://www.eia.doe.gov/emeu/consumptionbriefs/cbecs/pbawebsite/office/office_howmanyempl.htm"/>
    <hyperlink ref="B1:M1" location="'Table of Contents'!B3" display="Table of Contents"/>
    <hyperlink ref="I13:K13" location="Mitigation!B3" display="Mitigation"/>
  </hyperlinks>
  <printOptions/>
  <pageMargins left="0.7" right="0.7" top="0.75" bottom="0.75" header="0.3" footer="0.3"/>
  <pageSetup horizontalDpi="600" verticalDpi="600" orientation="portrait" r:id="rId3"/>
  <drawing r:id="rId2"/>
</worksheet>
</file>

<file path=xl/worksheets/sheet8.xml><?xml version="1.0" encoding="utf-8"?>
<worksheet xmlns="http://schemas.openxmlformats.org/spreadsheetml/2006/main" xmlns:r="http://schemas.openxmlformats.org/officeDocument/2006/relationships">
  <sheetPr codeName="wksSolidWasteV">
    <tabColor theme="2" tint="-0.7499799728393555"/>
  </sheetPr>
  <dimension ref="A1:Z187"/>
  <sheetViews>
    <sheetView showGridLines="0" showRowColHeaders="0" zoomScale="84" zoomScaleNormal="84" zoomScalePageLayoutView="0" workbookViewId="0" topLeftCell="C1">
      <selection activeCell="A5" sqref="A5"/>
    </sheetView>
  </sheetViews>
  <sheetFormatPr defaultColWidth="9.140625" defaultRowHeight="15"/>
  <cols>
    <col min="1" max="1" width="2.8515625" style="30" customWidth="1"/>
    <col min="2" max="2" width="45.28125" style="30" customWidth="1"/>
    <col min="3" max="3" width="16.7109375" style="30" customWidth="1"/>
    <col min="4" max="4" width="16.57421875" style="30" customWidth="1"/>
    <col min="5" max="5" width="18.00390625" style="30" customWidth="1"/>
    <col min="6" max="6" width="19.28125" style="30" customWidth="1"/>
    <col min="7" max="7" width="23.140625" style="30" customWidth="1"/>
    <col min="8" max="8" width="18.8515625" style="30" customWidth="1"/>
    <col min="9" max="9" width="16.140625" style="30" customWidth="1"/>
    <col min="10" max="10" width="18.00390625" style="30" customWidth="1"/>
    <col min="11" max="11" width="18.140625" style="30" bestFit="1" customWidth="1"/>
    <col min="12" max="12" width="21.00390625" style="30" customWidth="1"/>
    <col min="13" max="13" width="15.7109375" style="30" customWidth="1"/>
    <col min="14" max="14" width="15.57421875" style="30" customWidth="1"/>
    <col min="15" max="16384" width="9.140625" style="30" customWidth="1"/>
  </cols>
  <sheetData>
    <row r="1" spans="2:14" ht="15" customHeight="1">
      <c r="B1" s="34" t="s">
        <v>177</v>
      </c>
      <c r="L1" s="34"/>
      <c r="M1" s="34"/>
      <c r="N1" s="34"/>
    </row>
    <row r="2" ht="15" customHeight="1"/>
    <row r="3" spans="1:26" ht="26.25">
      <c r="A3" s="10"/>
      <c r="B3" s="622" t="s">
        <v>9</v>
      </c>
      <c r="C3" s="622"/>
      <c r="D3" s="622"/>
      <c r="E3" s="10"/>
      <c r="F3" s="10"/>
      <c r="G3" s="10"/>
      <c r="H3" s="10"/>
      <c r="I3" s="10"/>
      <c r="J3" s="10"/>
      <c r="K3" s="10"/>
      <c r="L3" s="10"/>
      <c r="M3" s="10"/>
      <c r="N3" s="10"/>
      <c r="O3" s="10"/>
      <c r="P3" s="10"/>
      <c r="Q3" s="10"/>
      <c r="R3" s="10"/>
      <c r="S3" s="10"/>
      <c r="T3" s="10"/>
      <c r="U3" s="10"/>
      <c r="V3" s="10"/>
      <c r="W3" s="10"/>
      <c r="X3" s="10"/>
      <c r="Y3" s="10"/>
      <c r="Z3" s="10"/>
    </row>
    <row r="4" spans="2:3" ht="15" customHeight="1">
      <c r="B4" s="79" t="s">
        <v>679</v>
      </c>
      <c r="C4" s="30" t="str">
        <f>IF(+nrUseBaseline,"ON","OFF")</f>
        <v>ON</v>
      </c>
    </row>
    <row r="5" ht="15" customHeight="1" thickBot="1"/>
    <row r="6" spans="2:11" ht="15" customHeight="1">
      <c r="B6" s="265"/>
      <c r="C6" s="616" t="s">
        <v>656</v>
      </c>
      <c r="D6" s="616"/>
      <c r="E6" s="617"/>
      <c r="G6" s="265"/>
      <c r="H6" s="302"/>
      <c r="I6" s="616" t="s">
        <v>657</v>
      </c>
      <c r="J6" s="616"/>
      <c r="K6" s="617"/>
    </row>
    <row r="7" spans="2:11" ht="15" customHeight="1" thickBot="1">
      <c r="B7" s="271"/>
      <c r="C7" s="389" t="s">
        <v>113</v>
      </c>
      <c r="D7" s="389" t="s">
        <v>114</v>
      </c>
      <c r="E7" s="390" t="s">
        <v>363</v>
      </c>
      <c r="F7"/>
      <c r="G7" s="231"/>
      <c r="H7" s="40"/>
      <c r="I7" s="97" t="s">
        <v>113</v>
      </c>
      <c r="J7" s="389" t="s">
        <v>114</v>
      </c>
      <c r="K7" s="390" t="s">
        <v>363</v>
      </c>
    </row>
    <row r="8" spans="2:11" ht="15">
      <c r="B8" s="332" t="s">
        <v>575</v>
      </c>
      <c r="C8" s="413">
        <f>IF(nrProjectYear&lt;2010,VLOOKUP(nrProjectYear,$B$132:$D$151,2)/454/2204*$C$25,(VLOOKUP(nrProjectYear,$B$132:$D$151,2)*(100-VLOOKUP(nrProjectYear,$B$156:$D$186,3))/100)/454/2204*$C$25)</f>
        <v>0.25857656910010096</v>
      </c>
      <c r="D8" s="407">
        <f>IF(nrBaselineYear&lt;2010,VLOOKUP(nrBaselineYear,$B$132:$D$151,2)/454/2204*$H$25,(VLOOKUP(nrBaselineYear,$B$132:$D$151,2)*(100-VLOOKUP(nrBaselineYear,$B$156:$D$186,3))/100)/454/2204*$H$25)</f>
        <v>0</v>
      </c>
      <c r="E8" s="268"/>
      <c r="F8"/>
      <c r="G8" s="352"/>
      <c r="H8" s="402" t="s">
        <v>575</v>
      </c>
      <c r="I8" s="338">
        <f>+C8*((100-Mitigation!E59)/100)</f>
        <v>0.25857656910010096</v>
      </c>
      <c r="J8" s="407">
        <f>IF(nrBaselineYear&lt;2010,VLOOKUP(nrBaselineYear,$B$132:$D$151,2)/454/2204*$H$25,(VLOOKUP(nrBaselineYear,$B$132:$D$151,2)*(100-VLOOKUP(nrBaselineYear,$B$156:$D$186,3))/100)/454/2204*$H$25)</f>
        <v>0</v>
      </c>
      <c r="K8" s="268"/>
    </row>
    <row r="9" spans="2:11" ht="15">
      <c r="B9" s="333" t="s">
        <v>576</v>
      </c>
      <c r="C9" s="414">
        <f>IF(nrProjectYear&lt;2010,VLOOKUP(nrProjectYear,$B$132:$D$151,3)/454/2204*$C$25,(VLOOKUP(nrProjectYear,$B$132:$D$151,3)*(100-VLOOKUP(nrProjectYear,$B$156:$D$186,3))/100)/454/2204*$C$25)</f>
        <v>5.535723732847232E-06</v>
      </c>
      <c r="D9" s="408">
        <f>IF(nrBaselineYear&lt;2010,VLOOKUP(nrBaselineYear,$B$132:$D$151,3)/454/2204*$H$25,(VLOOKUP(nrBaselineYear,$B$132:$D$151,3)*(100-VLOOKUP(nrBaselineYear,$B$156:$D$186,3))/100)/454/2204*$H$25)</f>
        <v>0</v>
      </c>
      <c r="E9" s="268"/>
      <c r="F9"/>
      <c r="G9" s="231"/>
      <c r="H9" s="70" t="s">
        <v>576</v>
      </c>
      <c r="I9" s="339">
        <f>+C9*((100-Mitigation!E59)/100)</f>
        <v>5.535723732847232E-06</v>
      </c>
      <c r="J9" s="408">
        <f>IF(nrBaselineYear&lt;2010,VLOOKUP(nrBaselineYear,$B$132:$D$151,3)/454/2204*$H$25,(VLOOKUP(nrBaselineYear,$B$132:$D$151,3)*(100-VLOOKUP(nrBaselineYear,$B$156:$D$186,3))/100)/454/2204*$H$25)</f>
        <v>0</v>
      </c>
      <c r="K9" s="268"/>
    </row>
    <row r="10" spans="2:11" ht="15">
      <c r="B10" s="333" t="s">
        <v>577</v>
      </c>
      <c r="C10" s="243">
        <f>+C8+C9*21</f>
        <v>0.25869281929849075</v>
      </c>
      <c r="D10" s="409">
        <f>IF(nrUseBaseline,+D8+D9*21,0)</f>
        <v>0</v>
      </c>
      <c r="E10" s="268"/>
      <c r="F10"/>
      <c r="G10" s="231"/>
      <c r="H10" s="70" t="s">
        <v>577</v>
      </c>
      <c r="I10" s="244">
        <f>+I8+I9*21</f>
        <v>0.25869281929849075</v>
      </c>
      <c r="J10" s="409">
        <f>IF(nrUseBaseline,+J8+J9*21,0)</f>
        <v>0</v>
      </c>
      <c r="K10" s="268"/>
    </row>
    <row r="11" spans="2:11" ht="15">
      <c r="B11" s="333" t="s">
        <v>578</v>
      </c>
      <c r="C11" s="243">
        <f>+G74</f>
        <v>35.1104</v>
      </c>
      <c r="D11" s="409">
        <f>IF(nrUseBaseline,G123,0)</f>
        <v>0</v>
      </c>
      <c r="E11" s="268"/>
      <c r="F11"/>
      <c r="G11" s="231"/>
      <c r="H11" s="70" t="s">
        <v>578</v>
      </c>
      <c r="I11" s="244">
        <f>+G74*((100-Mitigation!E59)/100)</f>
        <v>35.1104</v>
      </c>
      <c r="J11" s="409">
        <f>IF(nrUseBaseline,G123,0)</f>
        <v>0</v>
      </c>
      <c r="K11" s="268"/>
    </row>
    <row r="12" spans="2:11" ht="15.75" thickBot="1">
      <c r="B12" s="334" t="s">
        <v>655</v>
      </c>
      <c r="C12" s="245">
        <f>+C11+C10</f>
        <v>35.36909281929849</v>
      </c>
      <c r="D12" s="410">
        <f>IF(nrUseBaseline,D11+D10,0)</f>
        <v>0</v>
      </c>
      <c r="E12" s="268"/>
      <c r="F12"/>
      <c r="G12" s="391"/>
      <c r="H12" s="403" t="s">
        <v>655</v>
      </c>
      <c r="I12" s="246">
        <f>+I11+I10</f>
        <v>35.36909281929849</v>
      </c>
      <c r="J12" s="410">
        <f>IF(nrUseBaseline,J11+J10,0)</f>
        <v>0</v>
      </c>
      <c r="K12" s="268"/>
    </row>
    <row r="13" spans="2:11" ht="16.5" thickBot="1">
      <c r="B13" s="334" t="s">
        <v>655</v>
      </c>
      <c r="C13" s="269"/>
      <c r="D13" s="269"/>
      <c r="E13" s="325">
        <f>IF(nrUseBaseline,C12-D12,C12)</f>
        <v>35.36909281929849</v>
      </c>
      <c r="F13"/>
      <c r="G13" s="411"/>
      <c r="H13" s="334" t="s">
        <v>655</v>
      </c>
      <c r="I13" s="269"/>
      <c r="J13" s="269"/>
      <c r="K13" s="325">
        <f>IF(nrUseBaseline,I12-J12,I12)</f>
        <v>35.36909281929849</v>
      </c>
    </row>
    <row r="14" spans="2:11" ht="15">
      <c r="B14" s="70"/>
      <c r="C14" s="412"/>
      <c r="D14" s="40"/>
      <c r="E14"/>
      <c r="F14"/>
      <c r="G14" s="393" t="s">
        <v>651</v>
      </c>
      <c r="H14" s="70"/>
      <c r="I14" s="43"/>
      <c r="J14" s="388" t="s">
        <v>638</v>
      </c>
      <c r="K14"/>
    </row>
    <row r="15" spans="2:11" ht="15">
      <c r="B15" s="68"/>
      <c r="I15" s="40"/>
      <c r="J15" s="40"/>
      <c r="K15" s="78"/>
    </row>
    <row r="16" spans="2:11" ht="15">
      <c r="B16" s="79" t="s">
        <v>372</v>
      </c>
      <c r="C16" s="84"/>
      <c r="D16" s="83"/>
      <c r="E16" s="83"/>
      <c r="F16" s="625" t="s">
        <v>373</v>
      </c>
      <c r="G16" s="625"/>
      <c r="H16" s="83"/>
      <c r="I16" s="83"/>
      <c r="J16" s="83"/>
      <c r="K16" s="417"/>
    </row>
    <row r="17" spans="2:10" ht="15">
      <c r="B17" s="79"/>
      <c r="C17" s="84"/>
      <c r="D17" s="83"/>
      <c r="E17" s="83"/>
      <c r="H17" s="83"/>
      <c r="I17" s="83"/>
      <c r="J17" s="83"/>
    </row>
    <row r="18" spans="2:10" ht="15">
      <c r="B18" s="79"/>
      <c r="C18" s="84"/>
      <c r="D18" s="83"/>
      <c r="E18" s="83"/>
      <c r="H18" s="83"/>
      <c r="I18" s="83"/>
      <c r="J18" s="83"/>
    </row>
    <row r="19" spans="3:9" ht="15">
      <c r="C19" s="78"/>
      <c r="H19" s="40"/>
      <c r="I19" s="40"/>
    </row>
    <row r="20" spans="3:9" ht="15">
      <c r="C20" s="78"/>
      <c r="H20" s="40"/>
      <c r="I20" s="40"/>
    </row>
    <row r="21" spans="2:9" ht="15">
      <c r="B21" s="306" t="s">
        <v>579</v>
      </c>
      <c r="C21" s="307" t="s">
        <v>347</v>
      </c>
      <c r="D21" s="308" t="s">
        <v>348</v>
      </c>
      <c r="F21" s="315"/>
      <c r="G21" s="316" t="s">
        <v>114</v>
      </c>
      <c r="H21" s="307" t="s">
        <v>347</v>
      </c>
      <c r="I21" s="317" t="s">
        <v>348</v>
      </c>
    </row>
    <row r="22" spans="2:9" ht="15">
      <c r="B22" s="309" t="s">
        <v>364</v>
      </c>
      <c r="C22" s="88">
        <v>40</v>
      </c>
      <c r="D22" s="473"/>
      <c r="F22" s="623" t="s">
        <v>709</v>
      </c>
      <c r="G22" s="624"/>
      <c r="H22" s="303">
        <v>40</v>
      </c>
      <c r="I22" s="473"/>
    </row>
    <row r="23" spans="2:9" ht="15">
      <c r="B23" s="310" t="s">
        <v>365</v>
      </c>
      <c r="C23" s="88">
        <v>15</v>
      </c>
      <c r="D23" s="473"/>
      <c r="F23" s="623" t="s">
        <v>365</v>
      </c>
      <c r="G23" s="624"/>
      <c r="H23" s="303">
        <v>15</v>
      </c>
      <c r="I23" s="473"/>
    </row>
    <row r="24" spans="2:9" ht="15">
      <c r="B24" s="310" t="s">
        <v>366</v>
      </c>
      <c r="C24" s="90">
        <f>IF(D23&gt;0,H74/D23,H74/C23)</f>
        <v>3.6573333333333333</v>
      </c>
      <c r="D24" s="311"/>
      <c r="F24" s="623" t="s">
        <v>366</v>
      </c>
      <c r="G24" s="624"/>
      <c r="H24" s="303">
        <f>IF(nrUseBaseline,IF(I23&gt;0,H123/I23,H123/H23),0)</f>
        <v>0</v>
      </c>
      <c r="I24" s="311"/>
    </row>
    <row r="25" spans="2:9" ht="15">
      <c r="B25" s="312" t="s">
        <v>367</v>
      </c>
      <c r="C25" s="313">
        <f>IF(D22&gt;0,C24*D22,C24*C22)</f>
        <v>146.29333333333332</v>
      </c>
      <c r="D25" s="314"/>
      <c r="F25" s="620" t="s">
        <v>367</v>
      </c>
      <c r="G25" s="621"/>
      <c r="H25" s="318">
        <f>IF(nrUseBaseline,IF(I22&gt;0,H24*I22,H24*H22),0)</f>
        <v>0</v>
      </c>
      <c r="I25" s="314"/>
    </row>
    <row r="26" spans="2:8" ht="15">
      <c r="B26" s="79"/>
      <c r="C26" s="89"/>
      <c r="F26" s="79"/>
      <c r="G26" s="79"/>
      <c r="H26" s="42"/>
    </row>
    <row r="27" spans="2:9" ht="75">
      <c r="B27" s="59" t="s">
        <v>374</v>
      </c>
      <c r="C27" s="60" t="s">
        <v>63</v>
      </c>
      <c r="D27" s="62" t="s">
        <v>349</v>
      </c>
      <c r="E27" s="62" t="s">
        <v>350</v>
      </c>
      <c r="F27" s="62" t="s">
        <v>351</v>
      </c>
      <c r="G27" s="62" t="s">
        <v>352</v>
      </c>
      <c r="H27" s="62" t="s">
        <v>654</v>
      </c>
      <c r="I27" s="39" t="s">
        <v>177</v>
      </c>
    </row>
    <row r="28" spans="2:9" ht="15">
      <c r="B28" s="59" t="s">
        <v>240</v>
      </c>
      <c r="C28" s="60">
        <f>nrUrbSingleFamilyUnits</f>
        <v>0</v>
      </c>
      <c r="D28" s="60">
        <f>12.23/2000*365</f>
        <v>2.2319750000000003</v>
      </c>
      <c r="E28" s="60">
        <f>+D28*C28</f>
        <v>0</v>
      </c>
      <c r="F28" s="474"/>
      <c r="G28" s="60">
        <f>IF(nrProjectLandfillOption=1,IF(F28&gt;0,F28*$C$128,E28*$C$128),IF(nrProjectLandfillOption=2,IF(F28&gt;0,F28*$D$128,E28*$D$128),IF(F28&gt;0,F28*$E$128,E28*$E$128)))</f>
        <v>0</v>
      </c>
      <c r="H28" s="60">
        <f>IF(F28&gt;0,F28,E28)</f>
        <v>0</v>
      </c>
      <c r="I28" s="40"/>
    </row>
    <row r="29" spans="2:9" ht="15">
      <c r="B29" s="59" t="s">
        <v>353</v>
      </c>
      <c r="C29" s="60">
        <f>nrUrbMultiFamilyUnits</f>
        <v>0</v>
      </c>
      <c r="D29" s="60">
        <v>1.17</v>
      </c>
      <c r="E29" s="60">
        <f>+D29*C29</f>
        <v>0</v>
      </c>
      <c r="F29" s="474"/>
      <c r="G29" s="60">
        <f>IF(nrProjectLandfillOption=1,IF(F29&gt;0,F29*$C$128,E29*$C$128),IF(nrProjectLandfillOption=2,IF(F29&gt;0,F29*$D$128,E29*$D$128),IF(F29&gt;0,F29*$E$128,E29*$E$128)))</f>
        <v>0</v>
      </c>
      <c r="H29" s="60">
        <f>IF(F29&gt;0,F29,E29)</f>
        <v>0</v>
      </c>
      <c r="I29" s="40"/>
    </row>
    <row r="30" spans="2:13" ht="60">
      <c r="B30" s="59" t="s">
        <v>375</v>
      </c>
      <c r="C30" s="62" t="s">
        <v>293</v>
      </c>
      <c r="D30" s="62" t="s">
        <v>354</v>
      </c>
      <c r="E30" s="62" t="s">
        <v>350</v>
      </c>
      <c r="F30" s="62" t="s">
        <v>351</v>
      </c>
      <c r="G30" s="62" t="s">
        <v>296</v>
      </c>
      <c r="H30" s="60"/>
      <c r="I30" s="39"/>
      <c r="J30" s="559" t="s">
        <v>714</v>
      </c>
      <c r="K30" s="560"/>
      <c r="L30" s="561"/>
      <c r="M30" s="122"/>
    </row>
    <row r="31" spans="2:13" ht="30" customHeight="1">
      <c r="B31" s="59" t="s">
        <v>209</v>
      </c>
      <c r="C31" s="60">
        <f>INDEX(nrUrbLandUseSqFt,1)</f>
        <v>0</v>
      </c>
      <c r="D31" s="85">
        <v>0.0013</v>
      </c>
      <c r="E31" s="60">
        <f>+D31*C31*1000</f>
        <v>0</v>
      </c>
      <c r="F31" s="474"/>
      <c r="G31" s="60">
        <f aca="true" t="shared" si="0" ref="G31:G73">IF(nrProjectLandfillOption=1,IF(F31&gt;0,F31*$C$128,E31*$C$128),IF(nrProjectLandfillOption=2,IF(F31&gt;0,F31*$D$128,E31*$D$128),IF(F31&gt;0,F31*$E$128,E31*$E$128)))</f>
        <v>0</v>
      </c>
      <c r="H31" s="60">
        <f aca="true" t="shared" si="1" ref="H31:H73">IF(F31&gt;0,F31,E31)</f>
        <v>0</v>
      </c>
      <c r="I31" s="81"/>
      <c r="J31" s="618" t="s">
        <v>712</v>
      </c>
      <c r="K31" s="619"/>
      <c r="L31" s="574" t="s">
        <v>724</v>
      </c>
      <c r="M31" s="574" t="s">
        <v>352</v>
      </c>
    </row>
    <row r="32" spans="2:13" ht="15">
      <c r="B32" s="59" t="s">
        <v>206</v>
      </c>
      <c r="C32" s="60">
        <f>INDEX(nrUrbLandUseSqFt,2)</f>
        <v>0</v>
      </c>
      <c r="D32" s="85">
        <v>0.0013</v>
      </c>
      <c r="E32" s="60">
        <f aca="true" t="shared" si="2" ref="E32:E73">+D32*C32*1000</f>
        <v>0</v>
      </c>
      <c r="F32" s="474"/>
      <c r="G32" s="60">
        <f t="shared" si="0"/>
        <v>0</v>
      </c>
      <c r="H32" s="60">
        <f t="shared" si="1"/>
        <v>0</v>
      </c>
      <c r="I32" s="81"/>
      <c r="J32" s="440"/>
      <c r="K32" s="441"/>
      <c r="L32" s="558"/>
      <c r="M32" s="575">
        <f aca="true" t="shared" si="3" ref="M32:M73">IF(nrProjectLandfillOption=1,L32*$C$128,IF(nrProjectLandfillOption=2,L32*$D$128,L32*$E$128))</f>
        <v>0</v>
      </c>
    </row>
    <row r="33" spans="2:13" ht="15">
      <c r="B33" s="59" t="s">
        <v>203</v>
      </c>
      <c r="C33" s="60">
        <f>INDEX(nrUrbLandUseSqFt,3)</f>
        <v>0</v>
      </c>
      <c r="D33" s="85">
        <v>0.0013</v>
      </c>
      <c r="E33" s="60">
        <f t="shared" si="2"/>
        <v>0</v>
      </c>
      <c r="F33" s="474"/>
      <c r="G33" s="60">
        <f t="shared" si="0"/>
        <v>0</v>
      </c>
      <c r="H33" s="60">
        <f t="shared" si="1"/>
        <v>0</v>
      </c>
      <c r="I33" s="81"/>
      <c r="J33" s="440"/>
      <c r="K33" s="441"/>
      <c r="L33" s="558"/>
      <c r="M33" s="575">
        <f t="shared" si="3"/>
        <v>0</v>
      </c>
    </row>
    <row r="34" spans="2:13" ht="15">
      <c r="B34" s="59" t="s">
        <v>201</v>
      </c>
      <c r="C34" s="60">
        <f>INDEX(nrUrbLandUseSqFt,4)</f>
        <v>0</v>
      </c>
      <c r="D34" s="85">
        <v>0.0013</v>
      </c>
      <c r="E34" s="60">
        <f t="shared" si="2"/>
        <v>0</v>
      </c>
      <c r="F34" s="474"/>
      <c r="G34" s="60">
        <f t="shared" si="0"/>
        <v>0</v>
      </c>
      <c r="H34" s="60">
        <f t="shared" si="1"/>
        <v>0</v>
      </c>
      <c r="I34" s="81"/>
      <c r="J34" s="440"/>
      <c r="K34" s="441"/>
      <c r="L34" s="558"/>
      <c r="M34" s="575">
        <f t="shared" si="3"/>
        <v>0</v>
      </c>
    </row>
    <row r="35" spans="2:13" ht="15">
      <c r="B35" s="59" t="s">
        <v>199</v>
      </c>
      <c r="C35" s="60">
        <f>INDEX(nrUrbLandUseSqFt,5)</f>
        <v>0</v>
      </c>
      <c r="D35" s="85">
        <v>0.0013</v>
      </c>
      <c r="E35" s="60">
        <f t="shared" si="2"/>
        <v>0</v>
      </c>
      <c r="F35" s="474"/>
      <c r="G35" s="60">
        <f t="shared" si="0"/>
        <v>0</v>
      </c>
      <c r="H35" s="60">
        <f t="shared" si="1"/>
        <v>0</v>
      </c>
      <c r="I35" s="81"/>
      <c r="J35" s="440"/>
      <c r="K35" s="441"/>
      <c r="L35" s="558"/>
      <c r="M35" s="575">
        <f t="shared" si="3"/>
        <v>0</v>
      </c>
    </row>
    <row r="36" spans="2:13" ht="15">
      <c r="B36" s="59" t="s">
        <v>197</v>
      </c>
      <c r="C36" s="60">
        <f>INDEX(nrUrbLandUseSqFt,6)</f>
        <v>0</v>
      </c>
      <c r="D36" s="85">
        <v>0.0013</v>
      </c>
      <c r="E36" s="60">
        <f t="shared" si="2"/>
        <v>0</v>
      </c>
      <c r="F36" s="474"/>
      <c r="G36" s="60">
        <f t="shared" si="0"/>
        <v>0</v>
      </c>
      <c r="H36" s="60">
        <f t="shared" si="1"/>
        <v>0</v>
      </c>
      <c r="I36" s="81"/>
      <c r="J36" s="440"/>
      <c r="K36" s="441"/>
      <c r="L36" s="558"/>
      <c r="M36" s="575">
        <f t="shared" si="3"/>
        <v>0</v>
      </c>
    </row>
    <row r="37" spans="2:13" ht="15">
      <c r="B37" s="59" t="s">
        <v>195</v>
      </c>
      <c r="C37" s="60">
        <f>INDEX(nrUrbLandUseSqFt,7)</f>
        <v>0</v>
      </c>
      <c r="D37" s="85">
        <v>0.0013</v>
      </c>
      <c r="E37" s="60">
        <f t="shared" si="2"/>
        <v>0</v>
      </c>
      <c r="F37" s="474"/>
      <c r="G37" s="60">
        <f t="shared" si="0"/>
        <v>0</v>
      </c>
      <c r="H37" s="60">
        <f t="shared" si="1"/>
        <v>0</v>
      </c>
      <c r="I37" s="81"/>
      <c r="J37" s="440"/>
      <c r="K37" s="441"/>
      <c r="L37" s="558"/>
      <c r="M37" s="575">
        <f t="shared" si="3"/>
        <v>0</v>
      </c>
    </row>
    <row r="38" spans="2:13" ht="15">
      <c r="B38" s="59" t="s">
        <v>193</v>
      </c>
      <c r="C38" s="60">
        <f>INDEX(nrUrbLandUseSqFt,8)</f>
        <v>42.2</v>
      </c>
      <c r="D38" s="85">
        <v>0.0013</v>
      </c>
      <c r="E38" s="60">
        <f t="shared" si="2"/>
        <v>54.86</v>
      </c>
      <c r="F38" s="474"/>
      <c r="G38" s="60">
        <f t="shared" si="0"/>
        <v>35.1104</v>
      </c>
      <c r="H38" s="60">
        <f t="shared" si="1"/>
        <v>54.86</v>
      </c>
      <c r="I38" s="81"/>
      <c r="J38" s="440"/>
      <c r="K38" s="441"/>
      <c r="L38" s="558"/>
      <c r="M38" s="575">
        <f t="shared" si="3"/>
        <v>0</v>
      </c>
    </row>
    <row r="39" spans="2:13" ht="15">
      <c r="B39" s="59" t="s">
        <v>190</v>
      </c>
      <c r="C39" s="60">
        <f>INDEX(nrUrbLandUseSqFt,9)</f>
        <v>0</v>
      </c>
      <c r="D39" s="85">
        <v>0</v>
      </c>
      <c r="E39" s="60">
        <f t="shared" si="2"/>
        <v>0</v>
      </c>
      <c r="F39" s="474"/>
      <c r="G39" s="60">
        <f t="shared" si="0"/>
        <v>0</v>
      </c>
      <c r="H39" s="60">
        <f t="shared" si="1"/>
        <v>0</v>
      </c>
      <c r="I39" s="81"/>
      <c r="J39" s="440"/>
      <c r="K39" s="441"/>
      <c r="L39" s="558"/>
      <c r="M39" s="575">
        <f t="shared" si="3"/>
        <v>0</v>
      </c>
    </row>
    <row r="40" spans="2:13" ht="15">
      <c r="B40" s="59" t="s">
        <v>188</v>
      </c>
      <c r="C40" s="60">
        <f>INDEX(nrUrbLandUseSqFt,10)</f>
        <v>0</v>
      </c>
      <c r="D40" s="85">
        <f>(3.12/100)/2000*365</f>
        <v>0.005694</v>
      </c>
      <c r="E40" s="60">
        <f t="shared" si="2"/>
        <v>0</v>
      </c>
      <c r="F40" s="474"/>
      <c r="G40" s="60">
        <f t="shared" si="0"/>
        <v>0</v>
      </c>
      <c r="H40" s="60">
        <f t="shared" si="1"/>
        <v>0</v>
      </c>
      <c r="I40" s="81"/>
      <c r="J40" s="440"/>
      <c r="K40" s="441"/>
      <c r="L40" s="558"/>
      <c r="M40" s="575">
        <f t="shared" si="3"/>
        <v>0</v>
      </c>
    </row>
    <row r="41" spans="2:13" ht="15">
      <c r="B41" s="59" t="s">
        <v>186</v>
      </c>
      <c r="C41" s="60">
        <f>INDEX(nrUrbLandUseSqFt,11)</f>
        <v>0</v>
      </c>
      <c r="D41" s="85">
        <f>(3.12/100)/2000*365</f>
        <v>0.005694</v>
      </c>
      <c r="E41" s="60">
        <f t="shared" si="2"/>
        <v>0</v>
      </c>
      <c r="F41" s="474"/>
      <c r="G41" s="60">
        <f t="shared" si="0"/>
        <v>0</v>
      </c>
      <c r="H41" s="60">
        <f t="shared" si="1"/>
        <v>0</v>
      </c>
      <c r="I41" s="81"/>
      <c r="J41" s="440"/>
      <c r="K41" s="441"/>
      <c r="L41" s="558"/>
      <c r="M41" s="575">
        <f t="shared" si="3"/>
        <v>0</v>
      </c>
    </row>
    <row r="42" spans="2:13" ht="15">
      <c r="B42" s="59" t="s">
        <v>184</v>
      </c>
      <c r="C42" s="60">
        <f>INDEX(nrUrbLandUseSqFt,12)</f>
        <v>0</v>
      </c>
      <c r="D42" s="85">
        <v>0.0009</v>
      </c>
      <c r="E42" s="60">
        <f t="shared" si="2"/>
        <v>0</v>
      </c>
      <c r="F42" s="474"/>
      <c r="G42" s="60">
        <f t="shared" si="0"/>
        <v>0</v>
      </c>
      <c r="H42" s="60">
        <f t="shared" si="1"/>
        <v>0</v>
      </c>
      <c r="I42" s="81"/>
      <c r="J42" s="440"/>
      <c r="K42" s="441"/>
      <c r="L42" s="558"/>
      <c r="M42" s="575">
        <f t="shared" si="3"/>
        <v>0</v>
      </c>
    </row>
    <row r="43" spans="2:13" ht="15">
      <c r="B43" s="59" t="s">
        <v>183</v>
      </c>
      <c r="C43" s="60">
        <f>INDEX(nrUrbLandUseSqFt,13)</f>
        <v>0</v>
      </c>
      <c r="D43" s="85">
        <v>0.0009</v>
      </c>
      <c r="E43" s="60">
        <f t="shared" si="2"/>
        <v>0</v>
      </c>
      <c r="F43" s="474"/>
      <c r="G43" s="60">
        <f t="shared" si="0"/>
        <v>0</v>
      </c>
      <c r="H43" s="60">
        <f t="shared" si="1"/>
        <v>0</v>
      </c>
      <c r="I43" s="81"/>
      <c r="J43" s="440"/>
      <c r="K43" s="441"/>
      <c r="L43" s="558"/>
      <c r="M43" s="575">
        <f t="shared" si="3"/>
        <v>0</v>
      </c>
    </row>
    <row r="44" spans="2:13" ht="15">
      <c r="B44" s="59" t="s">
        <v>180</v>
      </c>
      <c r="C44" s="60">
        <f>INDEX(nrUrbLandUseSqFt,14)</f>
        <v>0</v>
      </c>
      <c r="D44" s="85">
        <v>0.0009</v>
      </c>
      <c r="E44" s="60">
        <f t="shared" si="2"/>
        <v>0</v>
      </c>
      <c r="F44" s="474"/>
      <c r="G44" s="60">
        <f t="shared" si="0"/>
        <v>0</v>
      </c>
      <c r="H44" s="60">
        <f t="shared" si="1"/>
        <v>0</v>
      </c>
      <c r="I44" s="81"/>
      <c r="J44" s="440"/>
      <c r="K44" s="441"/>
      <c r="L44" s="558"/>
      <c r="M44" s="575">
        <f t="shared" si="3"/>
        <v>0</v>
      </c>
    </row>
    <row r="45" spans="2:13" ht="15">
      <c r="B45" s="59" t="s">
        <v>179</v>
      </c>
      <c r="C45" s="60">
        <f>INDEX(nrUrbLandUseSqFt,15)</f>
        <v>0</v>
      </c>
      <c r="D45" s="85">
        <v>0.0009</v>
      </c>
      <c r="E45" s="60">
        <f t="shared" si="2"/>
        <v>0</v>
      </c>
      <c r="F45" s="474"/>
      <c r="G45" s="60">
        <f t="shared" si="0"/>
        <v>0</v>
      </c>
      <c r="H45" s="60">
        <f t="shared" si="1"/>
        <v>0</v>
      </c>
      <c r="I45" s="81"/>
      <c r="J45" s="440"/>
      <c r="K45" s="441"/>
      <c r="L45" s="558"/>
      <c r="M45" s="575">
        <f t="shared" si="3"/>
        <v>0</v>
      </c>
    </row>
    <row r="46" spans="2:13" ht="15">
      <c r="B46" s="59" t="s">
        <v>178</v>
      </c>
      <c r="C46" s="60">
        <f>INDEX(nrUrbLandUseSqFt,16)</f>
        <v>0</v>
      </c>
      <c r="D46" s="85">
        <v>0.0108</v>
      </c>
      <c r="E46" s="60">
        <f t="shared" si="2"/>
        <v>0</v>
      </c>
      <c r="F46" s="474"/>
      <c r="G46" s="60">
        <f t="shared" si="0"/>
        <v>0</v>
      </c>
      <c r="H46" s="60">
        <f t="shared" si="1"/>
        <v>0</v>
      </c>
      <c r="I46" s="81"/>
      <c r="J46" s="440"/>
      <c r="K46" s="441"/>
      <c r="L46" s="558"/>
      <c r="M46" s="575">
        <f t="shared" si="3"/>
        <v>0</v>
      </c>
    </row>
    <row r="47" spans="2:13" ht="15">
      <c r="B47" s="59" t="s">
        <v>176</v>
      </c>
      <c r="C47" s="60">
        <f>INDEX(nrUrbLandUseSqFt,17)</f>
        <v>0</v>
      </c>
      <c r="D47" s="85">
        <v>0.0108</v>
      </c>
      <c r="E47" s="60">
        <f t="shared" si="2"/>
        <v>0</v>
      </c>
      <c r="F47" s="474"/>
      <c r="G47" s="60">
        <f t="shared" si="0"/>
        <v>0</v>
      </c>
      <c r="H47" s="60">
        <f t="shared" si="1"/>
        <v>0</v>
      </c>
      <c r="I47" s="81"/>
      <c r="J47" s="440"/>
      <c r="K47" s="441"/>
      <c r="L47" s="558"/>
      <c r="M47" s="575">
        <f t="shared" si="3"/>
        <v>0</v>
      </c>
    </row>
    <row r="48" spans="2:13" ht="15">
      <c r="B48" s="59" t="s">
        <v>174</v>
      </c>
      <c r="C48" s="60">
        <f>INDEX(nrUrbLandUseSqFt,18)</f>
        <v>0</v>
      </c>
      <c r="D48" s="85">
        <f aca="true" t="shared" si="4" ref="D48:D53">+(2.5/100)*365/2000</f>
        <v>0.0045625</v>
      </c>
      <c r="E48" s="60">
        <f t="shared" si="2"/>
        <v>0</v>
      </c>
      <c r="F48" s="474"/>
      <c r="G48" s="60">
        <f t="shared" si="0"/>
        <v>0</v>
      </c>
      <c r="H48" s="60">
        <f t="shared" si="1"/>
        <v>0</v>
      </c>
      <c r="I48" s="81"/>
      <c r="J48" s="440"/>
      <c r="K48" s="441"/>
      <c r="L48" s="558"/>
      <c r="M48" s="575">
        <f t="shared" si="3"/>
        <v>0</v>
      </c>
    </row>
    <row r="49" spans="2:13" ht="15">
      <c r="B49" s="59" t="s">
        <v>173</v>
      </c>
      <c r="C49" s="60">
        <f>INDEX(nrUrbLandUseSqFt,19)</f>
        <v>0</v>
      </c>
      <c r="D49" s="85">
        <f t="shared" si="4"/>
        <v>0.0045625</v>
      </c>
      <c r="E49" s="60">
        <f t="shared" si="2"/>
        <v>0</v>
      </c>
      <c r="F49" s="474"/>
      <c r="G49" s="60">
        <f t="shared" si="0"/>
        <v>0</v>
      </c>
      <c r="H49" s="60">
        <f t="shared" si="1"/>
        <v>0</v>
      </c>
      <c r="I49" s="81"/>
      <c r="J49" s="440"/>
      <c r="K49" s="441"/>
      <c r="L49" s="558"/>
      <c r="M49" s="575">
        <f t="shared" si="3"/>
        <v>0</v>
      </c>
    </row>
    <row r="50" spans="2:13" ht="15">
      <c r="B50" s="59" t="s">
        <v>172</v>
      </c>
      <c r="C50" s="60">
        <f>INDEX(nrUrbLandUseSqFt,20)</f>
        <v>0</v>
      </c>
      <c r="D50" s="85">
        <f t="shared" si="4"/>
        <v>0.0045625</v>
      </c>
      <c r="E50" s="60">
        <f t="shared" si="2"/>
        <v>0</v>
      </c>
      <c r="F50" s="474"/>
      <c r="G50" s="60">
        <f t="shared" si="0"/>
        <v>0</v>
      </c>
      <c r="H50" s="60">
        <f t="shared" si="1"/>
        <v>0</v>
      </c>
      <c r="I50" s="81"/>
      <c r="J50" s="440"/>
      <c r="K50" s="441"/>
      <c r="L50" s="558"/>
      <c r="M50" s="575">
        <f t="shared" si="3"/>
        <v>0</v>
      </c>
    </row>
    <row r="51" spans="2:13" ht="15">
      <c r="B51" s="59" t="s">
        <v>168</v>
      </c>
      <c r="C51" s="60">
        <f>INDEX(nrUrbLandUseSqFt,21)</f>
        <v>0</v>
      </c>
      <c r="D51" s="85">
        <f t="shared" si="4"/>
        <v>0.0045625</v>
      </c>
      <c r="E51" s="60">
        <f t="shared" si="2"/>
        <v>0</v>
      </c>
      <c r="F51" s="474"/>
      <c r="G51" s="60">
        <f t="shared" si="0"/>
        <v>0</v>
      </c>
      <c r="H51" s="60">
        <f t="shared" si="1"/>
        <v>0</v>
      </c>
      <c r="I51" s="81"/>
      <c r="J51" s="440"/>
      <c r="K51" s="441"/>
      <c r="L51" s="558"/>
      <c r="M51" s="575">
        <f t="shared" si="3"/>
        <v>0</v>
      </c>
    </row>
    <row r="52" spans="2:13" ht="15">
      <c r="B52" s="59" t="s">
        <v>166</v>
      </c>
      <c r="C52" s="60">
        <f>INDEX(nrUrbLandUseSqFt,22)</f>
        <v>0</v>
      </c>
      <c r="D52" s="85">
        <f t="shared" si="4"/>
        <v>0.0045625</v>
      </c>
      <c r="E52" s="60">
        <f t="shared" si="2"/>
        <v>0</v>
      </c>
      <c r="F52" s="474"/>
      <c r="G52" s="60">
        <f t="shared" si="0"/>
        <v>0</v>
      </c>
      <c r="H52" s="60">
        <f t="shared" si="1"/>
        <v>0</v>
      </c>
      <c r="I52" s="81"/>
      <c r="J52" s="440"/>
      <c r="K52" s="441"/>
      <c r="L52" s="558"/>
      <c r="M52" s="575">
        <f t="shared" si="3"/>
        <v>0</v>
      </c>
    </row>
    <row r="53" spans="2:13" ht="15">
      <c r="B53" s="59" t="s">
        <v>164</v>
      </c>
      <c r="C53" s="60">
        <f>INDEX(nrUrbLandUseSqFt,23)</f>
        <v>0</v>
      </c>
      <c r="D53" s="85">
        <f t="shared" si="4"/>
        <v>0.0045625</v>
      </c>
      <c r="E53" s="60">
        <f t="shared" si="2"/>
        <v>0</v>
      </c>
      <c r="F53" s="474"/>
      <c r="G53" s="60">
        <f t="shared" si="0"/>
        <v>0</v>
      </c>
      <c r="H53" s="60">
        <f t="shared" si="1"/>
        <v>0</v>
      </c>
      <c r="I53" s="81"/>
      <c r="J53" s="440"/>
      <c r="K53" s="441"/>
      <c r="L53" s="558"/>
      <c r="M53" s="575">
        <f t="shared" si="3"/>
        <v>0</v>
      </c>
    </row>
    <row r="54" spans="2:13" ht="15">
      <c r="B54" s="59" t="s">
        <v>163</v>
      </c>
      <c r="C54" s="60">
        <f>INDEX(nrUrbLandUseSqFt,24)</f>
        <v>0</v>
      </c>
      <c r="D54" s="85">
        <v>0.0024</v>
      </c>
      <c r="E54" s="60">
        <f t="shared" si="2"/>
        <v>0</v>
      </c>
      <c r="F54" s="474"/>
      <c r="G54" s="60">
        <f t="shared" si="0"/>
        <v>0</v>
      </c>
      <c r="H54" s="60">
        <f t="shared" si="1"/>
        <v>0</v>
      </c>
      <c r="I54" s="81"/>
      <c r="J54" s="440"/>
      <c r="K54" s="441"/>
      <c r="L54" s="558"/>
      <c r="M54" s="575">
        <f t="shared" si="3"/>
        <v>0</v>
      </c>
    </row>
    <row r="55" spans="2:13" ht="15">
      <c r="B55" s="59" t="s">
        <v>162</v>
      </c>
      <c r="C55" s="60">
        <f>INDEX(nrUrbLandUseSqFt,25)</f>
        <v>0</v>
      </c>
      <c r="D55" s="85">
        <v>0.0024</v>
      </c>
      <c r="E55" s="60">
        <f t="shared" si="2"/>
        <v>0</v>
      </c>
      <c r="F55" s="474"/>
      <c r="G55" s="60">
        <f t="shared" si="0"/>
        <v>0</v>
      </c>
      <c r="H55" s="60">
        <f t="shared" si="1"/>
        <v>0</v>
      </c>
      <c r="I55" s="81"/>
      <c r="J55" s="440"/>
      <c r="K55" s="441"/>
      <c r="L55" s="558"/>
      <c r="M55" s="575">
        <f t="shared" si="3"/>
        <v>0</v>
      </c>
    </row>
    <row r="56" spans="2:13" ht="15">
      <c r="B56" s="59" t="s">
        <v>161</v>
      </c>
      <c r="C56" s="60">
        <f>INDEX(nrUrbLandUseSqFt,26)</f>
        <v>0</v>
      </c>
      <c r="D56" s="85">
        <f>3.12/100/2000*365</f>
        <v>0.005694</v>
      </c>
      <c r="E56" s="60">
        <f t="shared" si="2"/>
        <v>0</v>
      </c>
      <c r="F56" s="474"/>
      <c r="G56" s="60">
        <f t="shared" si="0"/>
        <v>0</v>
      </c>
      <c r="H56" s="60">
        <f t="shared" si="1"/>
        <v>0</v>
      </c>
      <c r="I56" s="81"/>
      <c r="J56" s="440"/>
      <c r="K56" s="441"/>
      <c r="L56" s="558"/>
      <c r="M56" s="575">
        <f t="shared" si="3"/>
        <v>0</v>
      </c>
    </row>
    <row r="57" spans="2:13" ht="15">
      <c r="B57" s="59" t="s">
        <v>160</v>
      </c>
      <c r="C57" s="60">
        <f>INDEX(nrUrbLandUseSqFt,27)</f>
        <v>0</v>
      </c>
      <c r="D57" s="85">
        <v>0.0024</v>
      </c>
      <c r="E57" s="60">
        <f t="shared" si="2"/>
        <v>0</v>
      </c>
      <c r="F57" s="474"/>
      <c r="G57" s="60">
        <f t="shared" si="0"/>
        <v>0</v>
      </c>
      <c r="H57" s="60">
        <f t="shared" si="1"/>
        <v>0</v>
      </c>
      <c r="I57" s="81"/>
      <c r="J57" s="440"/>
      <c r="K57" s="441"/>
      <c r="L57" s="558"/>
      <c r="M57" s="575">
        <f t="shared" si="3"/>
        <v>0</v>
      </c>
    </row>
    <row r="58" spans="2:13" ht="15">
      <c r="B58" s="59" t="s">
        <v>159</v>
      </c>
      <c r="C58" s="60">
        <f>INDEX(nrUrbLandUseSqFt,28)</f>
        <v>0</v>
      </c>
      <c r="D58" s="85">
        <v>0.0024</v>
      </c>
      <c r="E58" s="60">
        <f t="shared" si="2"/>
        <v>0</v>
      </c>
      <c r="F58" s="474"/>
      <c r="G58" s="60">
        <f t="shared" si="0"/>
        <v>0</v>
      </c>
      <c r="H58" s="60">
        <f t="shared" si="1"/>
        <v>0</v>
      </c>
      <c r="I58" s="81"/>
      <c r="J58" s="440"/>
      <c r="K58" s="441"/>
      <c r="L58" s="558"/>
      <c r="M58" s="575">
        <f t="shared" si="3"/>
        <v>0</v>
      </c>
    </row>
    <row r="59" spans="2:13" ht="15">
      <c r="B59" s="59" t="s">
        <v>158</v>
      </c>
      <c r="C59" s="60">
        <f>INDEX(nrUrbLandUseSqFt,29)</f>
        <v>0</v>
      </c>
      <c r="D59" s="85">
        <v>0.0024</v>
      </c>
      <c r="E59" s="60">
        <f t="shared" si="2"/>
        <v>0</v>
      </c>
      <c r="F59" s="474"/>
      <c r="G59" s="60">
        <f t="shared" si="0"/>
        <v>0</v>
      </c>
      <c r="H59" s="60">
        <f t="shared" si="1"/>
        <v>0</v>
      </c>
      <c r="I59" s="81"/>
      <c r="J59" s="440"/>
      <c r="K59" s="441"/>
      <c r="L59" s="558"/>
      <c r="M59" s="575">
        <f t="shared" si="3"/>
        <v>0</v>
      </c>
    </row>
    <row r="60" spans="2:13" ht="15">
      <c r="B60" s="59" t="s">
        <v>157</v>
      </c>
      <c r="C60" s="60">
        <f>INDEX(nrUrbLandUseSqFt,30)</f>
        <v>0</v>
      </c>
      <c r="D60" s="85">
        <v>0.0108</v>
      </c>
      <c r="E60" s="60">
        <f t="shared" si="2"/>
        <v>0</v>
      </c>
      <c r="F60" s="474"/>
      <c r="G60" s="60">
        <f t="shared" si="0"/>
        <v>0</v>
      </c>
      <c r="H60" s="60">
        <f t="shared" si="1"/>
        <v>0</v>
      </c>
      <c r="I60" s="81"/>
      <c r="J60" s="440"/>
      <c r="K60" s="441"/>
      <c r="L60" s="558"/>
      <c r="M60" s="575">
        <f t="shared" si="3"/>
        <v>0</v>
      </c>
    </row>
    <row r="61" spans="2:13" ht="15">
      <c r="B61" s="59" t="s">
        <v>156</v>
      </c>
      <c r="C61" s="60">
        <f>INDEX(nrUrbLandUseSqFt,31)</f>
        <v>0</v>
      </c>
      <c r="D61" s="85">
        <v>0.0108</v>
      </c>
      <c r="E61" s="60">
        <f t="shared" si="2"/>
        <v>0</v>
      </c>
      <c r="F61" s="474"/>
      <c r="G61" s="60">
        <f t="shared" si="0"/>
        <v>0</v>
      </c>
      <c r="H61" s="60">
        <f t="shared" si="1"/>
        <v>0</v>
      </c>
      <c r="I61" s="81"/>
      <c r="J61" s="440"/>
      <c r="K61" s="441"/>
      <c r="L61" s="558"/>
      <c r="M61" s="575">
        <f t="shared" si="3"/>
        <v>0</v>
      </c>
    </row>
    <row r="62" spans="2:13" ht="15">
      <c r="B62" s="59" t="s">
        <v>155</v>
      </c>
      <c r="C62" s="60">
        <f>INDEX(nrUrbLandUseSqFt,32)</f>
        <v>0</v>
      </c>
      <c r="D62" s="85">
        <v>0.0108</v>
      </c>
      <c r="E62" s="60">
        <f t="shared" si="2"/>
        <v>0</v>
      </c>
      <c r="F62" s="474"/>
      <c r="G62" s="60">
        <f t="shared" si="0"/>
        <v>0</v>
      </c>
      <c r="H62" s="60">
        <f t="shared" si="1"/>
        <v>0</v>
      </c>
      <c r="I62" s="81"/>
      <c r="J62" s="440"/>
      <c r="K62" s="441"/>
      <c r="L62" s="558"/>
      <c r="M62" s="575">
        <f t="shared" si="3"/>
        <v>0</v>
      </c>
    </row>
    <row r="63" spans="2:13" ht="15">
      <c r="B63" s="59" t="s">
        <v>154</v>
      </c>
      <c r="C63" s="60">
        <f>INDEX(nrUrbLandUseSqFt,33)</f>
        <v>0</v>
      </c>
      <c r="D63" s="85">
        <v>0.0108</v>
      </c>
      <c r="E63" s="60">
        <f t="shared" si="2"/>
        <v>0</v>
      </c>
      <c r="F63" s="474"/>
      <c r="G63" s="60">
        <f t="shared" si="0"/>
        <v>0</v>
      </c>
      <c r="H63" s="60">
        <f t="shared" si="1"/>
        <v>0</v>
      </c>
      <c r="I63" s="81"/>
      <c r="J63" s="440"/>
      <c r="K63" s="441"/>
      <c r="L63" s="558"/>
      <c r="M63" s="575">
        <f t="shared" si="3"/>
        <v>0</v>
      </c>
    </row>
    <row r="64" spans="2:13" ht="15">
      <c r="B64" s="59" t="s">
        <v>153</v>
      </c>
      <c r="C64" s="60">
        <f>INDEX(nrUrbLandUseSqFt,34)</f>
        <v>0</v>
      </c>
      <c r="D64" s="85">
        <v>0.0108</v>
      </c>
      <c r="E64" s="60">
        <f t="shared" si="2"/>
        <v>0</v>
      </c>
      <c r="F64" s="474"/>
      <c r="G64" s="60">
        <f t="shared" si="0"/>
        <v>0</v>
      </c>
      <c r="H64" s="60">
        <f t="shared" si="1"/>
        <v>0</v>
      </c>
      <c r="I64" s="81"/>
      <c r="J64" s="440"/>
      <c r="K64" s="441"/>
      <c r="L64" s="558"/>
      <c r="M64" s="575">
        <f t="shared" si="3"/>
        <v>0</v>
      </c>
    </row>
    <row r="65" spans="2:13" ht="15">
      <c r="B65" s="59" t="s">
        <v>152</v>
      </c>
      <c r="C65" s="60">
        <f>INDEX(nrUrbLandUseSqFt,35)</f>
        <v>0</v>
      </c>
      <c r="D65" s="85">
        <v>0.0024</v>
      </c>
      <c r="E65" s="60">
        <f t="shared" si="2"/>
        <v>0</v>
      </c>
      <c r="F65" s="474"/>
      <c r="G65" s="60">
        <f t="shared" si="0"/>
        <v>0</v>
      </c>
      <c r="H65" s="60">
        <f t="shared" si="1"/>
        <v>0</v>
      </c>
      <c r="I65" s="81"/>
      <c r="J65" s="440"/>
      <c r="K65" s="441"/>
      <c r="L65" s="558"/>
      <c r="M65" s="575">
        <f t="shared" si="3"/>
        <v>0</v>
      </c>
    </row>
    <row r="66" spans="2:13" ht="15">
      <c r="B66" s="59" t="s">
        <v>151</v>
      </c>
      <c r="C66" s="60">
        <f>INDEX(nrUrbLandUseSqFt,36)</f>
        <v>0</v>
      </c>
      <c r="D66" s="85">
        <v>0.0024</v>
      </c>
      <c r="E66" s="60">
        <f t="shared" si="2"/>
        <v>0</v>
      </c>
      <c r="F66" s="474"/>
      <c r="G66" s="60">
        <f t="shared" si="0"/>
        <v>0</v>
      </c>
      <c r="H66" s="60">
        <f t="shared" si="1"/>
        <v>0</v>
      </c>
      <c r="I66" s="81"/>
      <c r="J66" s="440"/>
      <c r="K66" s="441"/>
      <c r="L66" s="558"/>
      <c r="M66" s="575">
        <f t="shared" si="3"/>
        <v>0</v>
      </c>
    </row>
    <row r="67" spans="2:13" ht="15">
      <c r="B67" s="59" t="s">
        <v>150</v>
      </c>
      <c r="C67" s="60">
        <f>INDEX(nrUrbLandUseSqFt,37)</f>
        <v>0</v>
      </c>
      <c r="D67" s="85">
        <v>0.0108</v>
      </c>
      <c r="E67" s="60">
        <f t="shared" si="2"/>
        <v>0</v>
      </c>
      <c r="F67" s="474"/>
      <c r="G67" s="60">
        <f t="shared" si="0"/>
        <v>0</v>
      </c>
      <c r="H67" s="60">
        <f t="shared" si="1"/>
        <v>0</v>
      </c>
      <c r="I67" s="81"/>
      <c r="J67" s="440"/>
      <c r="K67" s="441"/>
      <c r="L67" s="558"/>
      <c r="M67" s="575">
        <f t="shared" si="3"/>
        <v>0</v>
      </c>
    </row>
    <row r="68" spans="2:13" ht="15">
      <c r="B68" s="59" t="s">
        <v>149</v>
      </c>
      <c r="C68" s="60">
        <f>INDEX(nrUrbLandUseSqFt,38)</f>
        <v>0</v>
      </c>
      <c r="D68" s="85">
        <v>0.0108</v>
      </c>
      <c r="E68" s="60">
        <f t="shared" si="2"/>
        <v>0</v>
      </c>
      <c r="F68" s="474"/>
      <c r="G68" s="60">
        <f t="shared" si="0"/>
        <v>0</v>
      </c>
      <c r="H68" s="60">
        <f t="shared" si="1"/>
        <v>0</v>
      </c>
      <c r="I68" s="81"/>
      <c r="J68" s="440"/>
      <c r="K68" s="441"/>
      <c r="L68" s="558"/>
      <c r="M68" s="575">
        <f t="shared" si="3"/>
        <v>0</v>
      </c>
    </row>
    <row r="69" spans="2:13" ht="15">
      <c r="B69" s="59" t="s">
        <v>148</v>
      </c>
      <c r="C69" s="60">
        <f>INDEX(nrUrbLandUseSqFt,39)</f>
        <v>0</v>
      </c>
      <c r="D69" s="85">
        <f>+(1.42/100)/2000*365</f>
        <v>0.0025915</v>
      </c>
      <c r="E69" s="60">
        <f t="shared" si="2"/>
        <v>0</v>
      </c>
      <c r="F69" s="474"/>
      <c r="G69" s="60">
        <f t="shared" si="0"/>
        <v>0</v>
      </c>
      <c r="H69" s="60">
        <f t="shared" si="1"/>
        <v>0</v>
      </c>
      <c r="I69" s="81"/>
      <c r="J69" s="440"/>
      <c r="K69" s="441"/>
      <c r="L69" s="558"/>
      <c r="M69" s="575">
        <f t="shared" si="3"/>
        <v>0</v>
      </c>
    </row>
    <row r="70" spans="2:13" ht="15">
      <c r="B70" s="59" t="s">
        <v>147</v>
      </c>
      <c r="C70" s="60">
        <f>INDEX(nrUrbLandUseSqFt,40)</f>
        <v>0</v>
      </c>
      <c r="D70" s="85">
        <f>0.006/2000*365</f>
        <v>0.001095</v>
      </c>
      <c r="E70" s="60">
        <f t="shared" si="2"/>
        <v>0</v>
      </c>
      <c r="F70" s="474"/>
      <c r="G70" s="60">
        <f t="shared" si="0"/>
        <v>0</v>
      </c>
      <c r="H70" s="60">
        <f t="shared" si="1"/>
        <v>0</v>
      </c>
      <c r="I70" s="81"/>
      <c r="J70" s="440"/>
      <c r="K70" s="441"/>
      <c r="L70" s="558"/>
      <c r="M70" s="575">
        <f t="shared" si="3"/>
        <v>0</v>
      </c>
    </row>
    <row r="71" spans="2:13" ht="15">
      <c r="B71" s="59" t="s">
        <v>146</v>
      </c>
      <c r="C71" s="60">
        <f>INDEX(nrUrbLandUseSqFt,41)</f>
        <v>0</v>
      </c>
      <c r="D71" s="85">
        <f>0.006/2000*365</f>
        <v>0.001095</v>
      </c>
      <c r="E71" s="60">
        <f t="shared" si="2"/>
        <v>0</v>
      </c>
      <c r="F71" s="474"/>
      <c r="G71" s="60">
        <f t="shared" si="0"/>
        <v>0</v>
      </c>
      <c r="H71" s="60">
        <f t="shared" si="1"/>
        <v>0</v>
      </c>
      <c r="I71" s="81"/>
      <c r="J71" s="440"/>
      <c r="K71" s="441"/>
      <c r="L71" s="558"/>
      <c r="M71" s="575">
        <f t="shared" si="3"/>
        <v>0</v>
      </c>
    </row>
    <row r="72" spans="2:13" ht="15">
      <c r="B72" s="59" t="s">
        <v>145</v>
      </c>
      <c r="C72" s="60">
        <f>INDEX(nrUrbLandUseSqFt,42)</f>
        <v>0</v>
      </c>
      <c r="D72" s="85">
        <f>0.006/2000*365</f>
        <v>0.001095</v>
      </c>
      <c r="E72" s="60">
        <f t="shared" si="2"/>
        <v>0</v>
      </c>
      <c r="F72" s="474"/>
      <c r="G72" s="60">
        <f t="shared" si="0"/>
        <v>0</v>
      </c>
      <c r="H72" s="60">
        <f t="shared" si="1"/>
        <v>0</v>
      </c>
      <c r="I72" s="81"/>
      <c r="J72" s="440"/>
      <c r="K72" s="441"/>
      <c r="L72" s="558"/>
      <c r="M72" s="575">
        <f t="shared" si="3"/>
        <v>0</v>
      </c>
    </row>
    <row r="73" spans="2:13" ht="15">
      <c r="B73" s="59" t="s">
        <v>144</v>
      </c>
      <c r="C73" s="60">
        <f>INDEX(nrUrbLandUseSqFt,43)</f>
        <v>0</v>
      </c>
      <c r="D73" s="85">
        <f>(1.42/100)/2000*365</f>
        <v>0.0025915</v>
      </c>
      <c r="E73" s="60">
        <f t="shared" si="2"/>
        <v>0</v>
      </c>
      <c r="F73" s="474"/>
      <c r="G73" s="60">
        <f t="shared" si="0"/>
        <v>0</v>
      </c>
      <c r="H73" s="60">
        <f t="shared" si="1"/>
        <v>0</v>
      </c>
      <c r="I73" s="81"/>
      <c r="J73" s="440"/>
      <c r="K73" s="441"/>
      <c r="L73" s="558"/>
      <c r="M73" s="575">
        <f t="shared" si="3"/>
        <v>0</v>
      </c>
    </row>
    <row r="74" spans="2:9" ht="15">
      <c r="B74" s="59"/>
      <c r="C74" s="60"/>
      <c r="D74" s="60"/>
      <c r="E74" s="86">
        <f>SUM(E28:E73)</f>
        <v>54.86</v>
      </c>
      <c r="F74" s="300"/>
      <c r="G74" s="86">
        <f>SUM(G28:G73,M32:M73)</f>
        <v>35.1104</v>
      </c>
      <c r="H74" s="60">
        <f>SUM(H28:H73,L32:L73)</f>
        <v>54.86</v>
      </c>
      <c r="I74" s="80"/>
    </row>
    <row r="75" spans="2:9" ht="15">
      <c r="B75" s="40"/>
      <c r="C75" s="29"/>
      <c r="D75" s="29"/>
      <c r="E75" s="38"/>
      <c r="F75" s="304"/>
      <c r="G75" s="38"/>
      <c r="H75" s="80"/>
      <c r="I75" s="80"/>
    </row>
    <row r="76" spans="2:9" ht="75">
      <c r="B76" s="59" t="s">
        <v>376</v>
      </c>
      <c r="C76" s="60" t="s">
        <v>63</v>
      </c>
      <c r="D76" s="62" t="s">
        <v>349</v>
      </c>
      <c r="E76" s="62" t="s">
        <v>350</v>
      </c>
      <c r="F76" s="62" t="s">
        <v>351</v>
      </c>
      <c r="G76" s="62" t="s">
        <v>352</v>
      </c>
      <c r="H76" s="562" t="s">
        <v>654</v>
      </c>
      <c r="I76" s="80"/>
    </row>
    <row r="77" spans="2:9" ht="15">
      <c r="B77" s="59" t="s">
        <v>240</v>
      </c>
      <c r="C77" s="60">
        <f>nrBaseSingleFamilyUnits</f>
        <v>0</v>
      </c>
      <c r="D77" s="60">
        <f>12.23/2000*365</f>
        <v>2.2319750000000003</v>
      </c>
      <c r="E77" s="60">
        <f>+D77*C77</f>
        <v>0</v>
      </c>
      <c r="F77" s="474"/>
      <c r="G77" s="60">
        <f>IF(nrBaselineLandfillOption=1,IF(F77&gt;0,F77*$C$128,E77*$C$128),IF(nrBaselineLandfillOption=2,IF(F77&gt;0,F77*$D$128,E77*$D$128),IF(F77&gt;0,F77*$E$128,E77*$E$128)))</f>
        <v>0</v>
      </c>
      <c r="H77" s="563">
        <f>IF(F77&gt;0,F77,E77)</f>
        <v>0</v>
      </c>
      <c r="I77" s="80"/>
    </row>
    <row r="78" spans="2:9" ht="15">
      <c r="B78" s="59" t="s">
        <v>353</v>
      </c>
      <c r="C78" s="60">
        <f>nrBaseMultiFamilyUnits</f>
        <v>0</v>
      </c>
      <c r="D78" s="60">
        <v>1.17</v>
      </c>
      <c r="E78" s="60">
        <f>+D78*C78</f>
        <v>0</v>
      </c>
      <c r="F78" s="474"/>
      <c r="G78" s="60">
        <f>IF(nrBaselineLandfillOption=1,IF(F78&gt;0,F78*$C$128,E78*$C$128),IF(nrBaselineLandfillOption=2,IF(F78&gt;0,F78*$D$128,E78*$D$128),IF(F78&gt;0,F78*$E$128,E78*$E$128)))</f>
        <v>0</v>
      </c>
      <c r="H78" s="563">
        <f>IF(F78&gt;0,F78,E78)</f>
        <v>0</v>
      </c>
      <c r="I78" s="80"/>
    </row>
    <row r="79" spans="2:13" ht="60">
      <c r="B79" s="59" t="s">
        <v>377</v>
      </c>
      <c r="C79" s="62" t="s">
        <v>293</v>
      </c>
      <c r="D79" s="62" t="s">
        <v>354</v>
      </c>
      <c r="E79" s="62" t="s">
        <v>350</v>
      </c>
      <c r="F79" s="62" t="s">
        <v>351</v>
      </c>
      <c r="G79" s="62" t="s">
        <v>296</v>
      </c>
      <c r="H79" s="564"/>
      <c r="I79" s="80"/>
      <c r="J79" s="559" t="s">
        <v>715</v>
      </c>
      <c r="K79" s="560"/>
      <c r="L79" s="561"/>
      <c r="M79" s="122"/>
    </row>
    <row r="80" spans="2:13" ht="45">
      <c r="B80" s="59" t="s">
        <v>209</v>
      </c>
      <c r="C80" s="60">
        <f>INDEX(nrBaseLandUseSqFt,1)</f>
        <v>0</v>
      </c>
      <c r="D80" s="85">
        <v>0.0013</v>
      </c>
      <c r="E80" s="60">
        <f>+D80*C80*1000</f>
        <v>0</v>
      </c>
      <c r="F80" s="474"/>
      <c r="G80" s="60">
        <f aca="true" t="shared" si="5" ref="G80:G122">IF(nrBaselineLandfillOption=1,IF(F80&gt;0,F80*$C$128,E80*$C$128),IF(nrBaselineLandfillOption=2,IF(F80&gt;0,F80*$D$128,E80*$D$128),IF(F80&gt;0,F80*$E$128,E80*$E$128)))</f>
        <v>0</v>
      </c>
      <c r="H80" s="563">
        <f>IF(F80&gt;0,F80,E80)</f>
        <v>0</v>
      </c>
      <c r="I80" s="80"/>
      <c r="J80" s="618" t="s">
        <v>712</v>
      </c>
      <c r="K80" s="619"/>
      <c r="L80" s="574" t="s">
        <v>724</v>
      </c>
      <c r="M80" s="574" t="s">
        <v>352</v>
      </c>
    </row>
    <row r="81" spans="2:13" ht="15">
      <c r="B81" s="59" t="s">
        <v>206</v>
      </c>
      <c r="C81" s="60">
        <f>INDEX(nrBaseLandUseSqFt,2)</f>
        <v>0</v>
      </c>
      <c r="D81" s="85">
        <v>0.0013</v>
      </c>
      <c r="E81" s="60">
        <f aca="true" t="shared" si="6" ref="E81:E122">+D81*C81*1000</f>
        <v>0</v>
      </c>
      <c r="F81" s="474"/>
      <c r="G81" s="60">
        <f t="shared" si="5"/>
        <v>0</v>
      </c>
      <c r="H81" s="563">
        <f aca="true" t="shared" si="7" ref="H81:H122">IF(F81&gt;0,F81,E81)</f>
        <v>0</v>
      </c>
      <c r="I81" s="80"/>
      <c r="J81" s="440"/>
      <c r="K81" s="441"/>
      <c r="L81" s="558"/>
      <c r="M81" s="575">
        <f aca="true" t="shared" si="8" ref="M81:M122">IF(nrProjectLandfillOption=1,L81*$C$128,IF(nrProjectLandfillOption=2,L81*$D$128,L81*$E$128))</f>
        <v>0</v>
      </c>
    </row>
    <row r="82" spans="2:13" ht="15">
      <c r="B82" s="59" t="s">
        <v>203</v>
      </c>
      <c r="C82" s="60">
        <f>INDEX(nrBaseLandUseSqFt,3)</f>
        <v>0</v>
      </c>
      <c r="D82" s="85">
        <v>0.0013</v>
      </c>
      <c r="E82" s="60">
        <f t="shared" si="6"/>
        <v>0</v>
      </c>
      <c r="F82" s="474"/>
      <c r="G82" s="60">
        <f t="shared" si="5"/>
        <v>0</v>
      </c>
      <c r="H82" s="563">
        <f t="shared" si="7"/>
        <v>0</v>
      </c>
      <c r="I82" s="80"/>
      <c r="J82" s="440"/>
      <c r="K82" s="441"/>
      <c r="L82" s="558"/>
      <c r="M82" s="575">
        <f t="shared" si="8"/>
        <v>0</v>
      </c>
    </row>
    <row r="83" spans="2:13" ht="15">
      <c r="B83" s="59" t="s">
        <v>201</v>
      </c>
      <c r="C83" s="60">
        <f>INDEX(nrBaseLandUseSqFt,4)</f>
        <v>0</v>
      </c>
      <c r="D83" s="85">
        <v>0.0013</v>
      </c>
      <c r="E83" s="60">
        <f t="shared" si="6"/>
        <v>0</v>
      </c>
      <c r="F83" s="474"/>
      <c r="G83" s="60">
        <f t="shared" si="5"/>
        <v>0</v>
      </c>
      <c r="H83" s="563">
        <f t="shared" si="7"/>
        <v>0</v>
      </c>
      <c r="I83" s="80"/>
      <c r="J83" s="440"/>
      <c r="K83" s="441"/>
      <c r="L83" s="558"/>
      <c r="M83" s="575">
        <f t="shared" si="8"/>
        <v>0</v>
      </c>
    </row>
    <row r="84" spans="2:13" ht="15">
      <c r="B84" s="59" t="s">
        <v>199</v>
      </c>
      <c r="C84" s="60">
        <f>INDEX(nrBaseLandUseSqFt,5)</f>
        <v>0</v>
      </c>
      <c r="D84" s="85">
        <v>0.0013</v>
      </c>
      <c r="E84" s="60">
        <f t="shared" si="6"/>
        <v>0</v>
      </c>
      <c r="F84" s="474"/>
      <c r="G84" s="60">
        <f t="shared" si="5"/>
        <v>0</v>
      </c>
      <c r="H84" s="563">
        <f t="shared" si="7"/>
        <v>0</v>
      </c>
      <c r="I84" s="80"/>
      <c r="J84" s="440"/>
      <c r="K84" s="441"/>
      <c r="L84" s="558"/>
      <c r="M84" s="575">
        <f t="shared" si="8"/>
        <v>0</v>
      </c>
    </row>
    <row r="85" spans="2:13" ht="15">
      <c r="B85" s="59" t="s">
        <v>197</v>
      </c>
      <c r="C85" s="60">
        <f>INDEX(nrBaseLandUseSqFt,6)</f>
        <v>0</v>
      </c>
      <c r="D85" s="85">
        <v>0.0013</v>
      </c>
      <c r="E85" s="60">
        <f t="shared" si="6"/>
        <v>0</v>
      </c>
      <c r="F85" s="474"/>
      <c r="G85" s="60">
        <f t="shared" si="5"/>
        <v>0</v>
      </c>
      <c r="H85" s="563">
        <f t="shared" si="7"/>
        <v>0</v>
      </c>
      <c r="I85" s="80"/>
      <c r="J85" s="440"/>
      <c r="K85" s="441"/>
      <c r="L85" s="558"/>
      <c r="M85" s="575">
        <f t="shared" si="8"/>
        <v>0</v>
      </c>
    </row>
    <row r="86" spans="2:13" ht="15">
      <c r="B86" s="59" t="s">
        <v>195</v>
      </c>
      <c r="C86" s="60">
        <f>INDEX(nrBaseLandUseSqFt,7)</f>
        <v>0</v>
      </c>
      <c r="D86" s="85">
        <v>0.0013</v>
      </c>
      <c r="E86" s="60">
        <f t="shared" si="6"/>
        <v>0</v>
      </c>
      <c r="F86" s="474"/>
      <c r="G86" s="60">
        <f t="shared" si="5"/>
        <v>0</v>
      </c>
      <c r="H86" s="563">
        <f t="shared" si="7"/>
        <v>0</v>
      </c>
      <c r="I86" s="80"/>
      <c r="J86" s="440"/>
      <c r="K86" s="441"/>
      <c r="L86" s="558"/>
      <c r="M86" s="575">
        <f t="shared" si="8"/>
        <v>0</v>
      </c>
    </row>
    <row r="87" spans="2:13" ht="15">
      <c r="B87" s="59" t="s">
        <v>193</v>
      </c>
      <c r="C87" s="60">
        <f>INDEX(nrBaseLandUseSqFt,8)</f>
        <v>0</v>
      </c>
      <c r="D87" s="85">
        <v>0.0013</v>
      </c>
      <c r="E87" s="60">
        <f t="shared" si="6"/>
        <v>0</v>
      </c>
      <c r="F87" s="474"/>
      <c r="G87" s="60">
        <f t="shared" si="5"/>
        <v>0</v>
      </c>
      <c r="H87" s="563">
        <f t="shared" si="7"/>
        <v>0</v>
      </c>
      <c r="I87" s="80"/>
      <c r="J87" s="440"/>
      <c r="K87" s="441"/>
      <c r="L87" s="558"/>
      <c r="M87" s="575">
        <f t="shared" si="8"/>
        <v>0</v>
      </c>
    </row>
    <row r="88" spans="2:13" ht="15">
      <c r="B88" s="59" t="s">
        <v>190</v>
      </c>
      <c r="C88" s="60">
        <f>INDEX(nrBaseLandUseSqFt,9)</f>
        <v>0</v>
      </c>
      <c r="D88" s="85">
        <v>0</v>
      </c>
      <c r="E88" s="60">
        <f t="shared" si="6"/>
        <v>0</v>
      </c>
      <c r="F88" s="474"/>
      <c r="G88" s="60">
        <f t="shared" si="5"/>
        <v>0</v>
      </c>
      <c r="H88" s="563">
        <f t="shared" si="7"/>
        <v>0</v>
      </c>
      <c r="I88" s="80"/>
      <c r="J88" s="440"/>
      <c r="K88" s="441"/>
      <c r="L88" s="558"/>
      <c r="M88" s="575">
        <f t="shared" si="8"/>
        <v>0</v>
      </c>
    </row>
    <row r="89" spans="2:13" ht="15">
      <c r="B89" s="59" t="s">
        <v>188</v>
      </c>
      <c r="C89" s="60">
        <f>INDEX(nrBaseLandUseSqFt,10)</f>
        <v>0</v>
      </c>
      <c r="D89" s="85">
        <f>(3.12/100)/2000*365</f>
        <v>0.005694</v>
      </c>
      <c r="E89" s="60">
        <f t="shared" si="6"/>
        <v>0</v>
      </c>
      <c r="F89" s="474"/>
      <c r="G89" s="60">
        <f t="shared" si="5"/>
        <v>0</v>
      </c>
      <c r="H89" s="563">
        <f t="shared" si="7"/>
        <v>0</v>
      </c>
      <c r="I89" s="80"/>
      <c r="J89" s="440"/>
      <c r="K89" s="441"/>
      <c r="L89" s="558"/>
      <c r="M89" s="575">
        <f t="shared" si="8"/>
        <v>0</v>
      </c>
    </row>
    <row r="90" spans="2:13" ht="15">
      <c r="B90" s="59" t="s">
        <v>186</v>
      </c>
      <c r="C90" s="60">
        <f>INDEX(nrBaseLandUseSqFt,11)</f>
        <v>0</v>
      </c>
      <c r="D90" s="85">
        <f>(3.12/100)/2000*365</f>
        <v>0.005694</v>
      </c>
      <c r="E90" s="60">
        <f t="shared" si="6"/>
        <v>0</v>
      </c>
      <c r="F90" s="474"/>
      <c r="G90" s="60">
        <f t="shared" si="5"/>
        <v>0</v>
      </c>
      <c r="H90" s="563">
        <f t="shared" si="7"/>
        <v>0</v>
      </c>
      <c r="I90" s="80"/>
      <c r="J90" s="440"/>
      <c r="K90" s="441"/>
      <c r="L90" s="558"/>
      <c r="M90" s="575">
        <f t="shared" si="8"/>
        <v>0</v>
      </c>
    </row>
    <row r="91" spans="2:13" ht="15">
      <c r="B91" s="59" t="s">
        <v>184</v>
      </c>
      <c r="C91" s="60">
        <f>INDEX(nrBaseLandUseSqFt,12)</f>
        <v>0</v>
      </c>
      <c r="D91" s="85">
        <v>0.0009</v>
      </c>
      <c r="E91" s="60">
        <f t="shared" si="6"/>
        <v>0</v>
      </c>
      <c r="F91" s="474"/>
      <c r="G91" s="60">
        <f t="shared" si="5"/>
        <v>0</v>
      </c>
      <c r="H91" s="563">
        <f t="shared" si="7"/>
        <v>0</v>
      </c>
      <c r="I91" s="80"/>
      <c r="J91" s="440"/>
      <c r="K91" s="441"/>
      <c r="L91" s="558"/>
      <c r="M91" s="575">
        <f t="shared" si="8"/>
        <v>0</v>
      </c>
    </row>
    <row r="92" spans="2:13" ht="15">
      <c r="B92" s="59" t="s">
        <v>183</v>
      </c>
      <c r="C92" s="60">
        <f>INDEX(nrBaseLandUseSqFt,13)</f>
        <v>0</v>
      </c>
      <c r="D92" s="85">
        <v>0.0009</v>
      </c>
      <c r="E92" s="60">
        <f t="shared" si="6"/>
        <v>0</v>
      </c>
      <c r="F92" s="474"/>
      <c r="G92" s="60">
        <f t="shared" si="5"/>
        <v>0</v>
      </c>
      <c r="H92" s="563">
        <f t="shared" si="7"/>
        <v>0</v>
      </c>
      <c r="I92" s="80"/>
      <c r="J92" s="440"/>
      <c r="K92" s="441"/>
      <c r="L92" s="558"/>
      <c r="M92" s="575">
        <f t="shared" si="8"/>
        <v>0</v>
      </c>
    </row>
    <row r="93" spans="2:13" ht="15">
      <c r="B93" s="59" t="s">
        <v>180</v>
      </c>
      <c r="C93" s="60">
        <f>INDEX(nrBaseLandUseSqFt,14)</f>
        <v>0</v>
      </c>
      <c r="D93" s="85">
        <v>0.0009</v>
      </c>
      <c r="E93" s="60">
        <f t="shared" si="6"/>
        <v>0</v>
      </c>
      <c r="F93" s="474"/>
      <c r="G93" s="60">
        <f t="shared" si="5"/>
        <v>0</v>
      </c>
      <c r="H93" s="563">
        <f t="shared" si="7"/>
        <v>0</v>
      </c>
      <c r="I93" s="80"/>
      <c r="J93" s="440"/>
      <c r="K93" s="441"/>
      <c r="L93" s="558"/>
      <c r="M93" s="575">
        <f t="shared" si="8"/>
        <v>0</v>
      </c>
    </row>
    <row r="94" spans="2:13" ht="15">
      <c r="B94" s="59" t="s">
        <v>179</v>
      </c>
      <c r="C94" s="60">
        <f>INDEX(nrBaseLandUseSqFt,15)</f>
        <v>0</v>
      </c>
      <c r="D94" s="85">
        <v>0.0009</v>
      </c>
      <c r="E94" s="60">
        <f t="shared" si="6"/>
        <v>0</v>
      </c>
      <c r="F94" s="474"/>
      <c r="G94" s="60">
        <f t="shared" si="5"/>
        <v>0</v>
      </c>
      <c r="H94" s="563">
        <f t="shared" si="7"/>
        <v>0</v>
      </c>
      <c r="I94" s="80"/>
      <c r="J94" s="440"/>
      <c r="K94" s="441"/>
      <c r="L94" s="558"/>
      <c r="M94" s="575">
        <f t="shared" si="8"/>
        <v>0</v>
      </c>
    </row>
    <row r="95" spans="2:13" ht="15">
      <c r="B95" s="59" t="s">
        <v>178</v>
      </c>
      <c r="C95" s="60">
        <f>INDEX(nrBaseLandUseSqFt,16)</f>
        <v>0</v>
      </c>
      <c r="D95" s="85">
        <v>0.0108</v>
      </c>
      <c r="E95" s="60">
        <f t="shared" si="6"/>
        <v>0</v>
      </c>
      <c r="F95" s="474"/>
      <c r="G95" s="60">
        <f t="shared" si="5"/>
        <v>0</v>
      </c>
      <c r="H95" s="563">
        <f t="shared" si="7"/>
        <v>0</v>
      </c>
      <c r="I95" s="80"/>
      <c r="J95" s="440"/>
      <c r="K95" s="441"/>
      <c r="L95" s="558"/>
      <c r="M95" s="575">
        <f t="shared" si="8"/>
        <v>0</v>
      </c>
    </row>
    <row r="96" spans="2:13" ht="15">
      <c r="B96" s="59" t="s">
        <v>176</v>
      </c>
      <c r="C96" s="60">
        <f>INDEX(nrBaseLandUseSqFt,17)</f>
        <v>0</v>
      </c>
      <c r="D96" s="85">
        <v>0.0108</v>
      </c>
      <c r="E96" s="60">
        <f t="shared" si="6"/>
        <v>0</v>
      </c>
      <c r="F96" s="474"/>
      <c r="G96" s="60">
        <f t="shared" si="5"/>
        <v>0</v>
      </c>
      <c r="H96" s="563">
        <f t="shared" si="7"/>
        <v>0</v>
      </c>
      <c r="I96" s="80"/>
      <c r="J96" s="440"/>
      <c r="K96" s="441"/>
      <c r="L96" s="558"/>
      <c r="M96" s="575">
        <f t="shared" si="8"/>
        <v>0</v>
      </c>
    </row>
    <row r="97" spans="2:13" ht="15">
      <c r="B97" s="59" t="s">
        <v>174</v>
      </c>
      <c r="C97" s="60">
        <f>INDEX(nrBaseLandUseSqFt,18)</f>
        <v>0</v>
      </c>
      <c r="D97" s="85">
        <f aca="true" t="shared" si="9" ref="D97:D102">+(2.5/100)*365/2000</f>
        <v>0.0045625</v>
      </c>
      <c r="E97" s="60">
        <f t="shared" si="6"/>
        <v>0</v>
      </c>
      <c r="F97" s="474"/>
      <c r="G97" s="60">
        <f t="shared" si="5"/>
        <v>0</v>
      </c>
      <c r="H97" s="563">
        <f t="shared" si="7"/>
        <v>0</v>
      </c>
      <c r="I97" s="80"/>
      <c r="J97" s="440"/>
      <c r="K97" s="441"/>
      <c r="L97" s="558"/>
      <c r="M97" s="575">
        <f t="shared" si="8"/>
        <v>0</v>
      </c>
    </row>
    <row r="98" spans="2:13" ht="15">
      <c r="B98" s="59" t="s">
        <v>173</v>
      </c>
      <c r="C98" s="60">
        <f>INDEX(nrBaseLandUseSqFt,19)</f>
        <v>0</v>
      </c>
      <c r="D98" s="85">
        <f t="shared" si="9"/>
        <v>0.0045625</v>
      </c>
      <c r="E98" s="60">
        <f t="shared" si="6"/>
        <v>0</v>
      </c>
      <c r="F98" s="474"/>
      <c r="G98" s="60">
        <f t="shared" si="5"/>
        <v>0</v>
      </c>
      <c r="H98" s="563">
        <f t="shared" si="7"/>
        <v>0</v>
      </c>
      <c r="I98" s="80"/>
      <c r="J98" s="440"/>
      <c r="K98" s="441"/>
      <c r="L98" s="558"/>
      <c r="M98" s="575">
        <f t="shared" si="8"/>
        <v>0</v>
      </c>
    </row>
    <row r="99" spans="2:13" ht="15">
      <c r="B99" s="59" t="s">
        <v>172</v>
      </c>
      <c r="C99" s="60">
        <f>INDEX(nrBaseLandUseSqFt,20)</f>
        <v>0</v>
      </c>
      <c r="D99" s="85">
        <f t="shared" si="9"/>
        <v>0.0045625</v>
      </c>
      <c r="E99" s="60">
        <f t="shared" si="6"/>
        <v>0</v>
      </c>
      <c r="F99" s="474"/>
      <c r="G99" s="60">
        <f t="shared" si="5"/>
        <v>0</v>
      </c>
      <c r="H99" s="563">
        <f t="shared" si="7"/>
        <v>0</v>
      </c>
      <c r="I99" s="80"/>
      <c r="J99" s="440"/>
      <c r="K99" s="441"/>
      <c r="L99" s="558"/>
      <c r="M99" s="575">
        <f t="shared" si="8"/>
        <v>0</v>
      </c>
    </row>
    <row r="100" spans="2:13" ht="15">
      <c r="B100" s="59" t="s">
        <v>168</v>
      </c>
      <c r="C100" s="60">
        <f>INDEX(nrBaseLandUseSqFt,21)</f>
        <v>0</v>
      </c>
      <c r="D100" s="85">
        <f t="shared" si="9"/>
        <v>0.0045625</v>
      </c>
      <c r="E100" s="60">
        <f t="shared" si="6"/>
        <v>0</v>
      </c>
      <c r="F100" s="474"/>
      <c r="G100" s="60">
        <f t="shared" si="5"/>
        <v>0</v>
      </c>
      <c r="H100" s="563">
        <f t="shared" si="7"/>
        <v>0</v>
      </c>
      <c r="I100" s="80"/>
      <c r="J100" s="440"/>
      <c r="K100" s="441"/>
      <c r="L100" s="558"/>
      <c r="M100" s="575">
        <f t="shared" si="8"/>
        <v>0</v>
      </c>
    </row>
    <row r="101" spans="2:13" ht="15">
      <c r="B101" s="59" t="s">
        <v>166</v>
      </c>
      <c r="C101" s="60">
        <f>INDEX(nrBaseLandUseSqFt,22)</f>
        <v>0</v>
      </c>
      <c r="D101" s="85">
        <f t="shared" si="9"/>
        <v>0.0045625</v>
      </c>
      <c r="E101" s="60">
        <f t="shared" si="6"/>
        <v>0</v>
      </c>
      <c r="F101" s="474"/>
      <c r="G101" s="60">
        <f t="shared" si="5"/>
        <v>0</v>
      </c>
      <c r="H101" s="563">
        <f t="shared" si="7"/>
        <v>0</v>
      </c>
      <c r="I101" s="80"/>
      <c r="J101" s="440"/>
      <c r="K101" s="441"/>
      <c r="L101" s="558"/>
      <c r="M101" s="575">
        <f t="shared" si="8"/>
        <v>0</v>
      </c>
    </row>
    <row r="102" spans="2:13" ht="15">
      <c r="B102" s="59" t="s">
        <v>164</v>
      </c>
      <c r="C102" s="60">
        <f>INDEX(nrBaseLandUseSqFt,23)</f>
        <v>0</v>
      </c>
      <c r="D102" s="85">
        <f t="shared" si="9"/>
        <v>0.0045625</v>
      </c>
      <c r="E102" s="60">
        <f t="shared" si="6"/>
        <v>0</v>
      </c>
      <c r="F102" s="474"/>
      <c r="G102" s="60">
        <f t="shared" si="5"/>
        <v>0</v>
      </c>
      <c r="H102" s="563">
        <f t="shared" si="7"/>
        <v>0</v>
      </c>
      <c r="I102" s="80"/>
      <c r="J102" s="440"/>
      <c r="K102" s="441"/>
      <c r="L102" s="558"/>
      <c r="M102" s="575">
        <f t="shared" si="8"/>
        <v>0</v>
      </c>
    </row>
    <row r="103" spans="2:13" ht="15">
      <c r="B103" s="59" t="s">
        <v>163</v>
      </c>
      <c r="C103" s="60">
        <f>INDEX(nrBaseLandUseSqFt,24)</f>
        <v>0</v>
      </c>
      <c r="D103" s="85">
        <v>0.0024</v>
      </c>
      <c r="E103" s="60">
        <f t="shared" si="6"/>
        <v>0</v>
      </c>
      <c r="F103" s="474"/>
      <c r="G103" s="60">
        <f t="shared" si="5"/>
        <v>0</v>
      </c>
      <c r="H103" s="563">
        <f t="shared" si="7"/>
        <v>0</v>
      </c>
      <c r="I103" s="80"/>
      <c r="J103" s="440"/>
      <c r="K103" s="441"/>
      <c r="L103" s="558"/>
      <c r="M103" s="575">
        <f t="shared" si="8"/>
        <v>0</v>
      </c>
    </row>
    <row r="104" spans="2:13" ht="15">
      <c r="B104" s="59" t="s">
        <v>162</v>
      </c>
      <c r="C104" s="60">
        <f>INDEX(nrBaseLandUseSqFt,25)</f>
        <v>0</v>
      </c>
      <c r="D104" s="85">
        <v>0.0024</v>
      </c>
      <c r="E104" s="60">
        <f t="shared" si="6"/>
        <v>0</v>
      </c>
      <c r="F104" s="474"/>
      <c r="G104" s="60">
        <f t="shared" si="5"/>
        <v>0</v>
      </c>
      <c r="H104" s="563">
        <f t="shared" si="7"/>
        <v>0</v>
      </c>
      <c r="I104" s="80"/>
      <c r="J104" s="440"/>
      <c r="K104" s="441"/>
      <c r="L104" s="558"/>
      <c r="M104" s="575">
        <f t="shared" si="8"/>
        <v>0</v>
      </c>
    </row>
    <row r="105" spans="2:13" ht="15">
      <c r="B105" s="59" t="s">
        <v>161</v>
      </c>
      <c r="C105" s="60">
        <f>INDEX(nrBaseLandUseSqFt,26)</f>
        <v>0</v>
      </c>
      <c r="D105" s="85">
        <f>3.12/100/2000*365</f>
        <v>0.005694</v>
      </c>
      <c r="E105" s="60">
        <f t="shared" si="6"/>
        <v>0</v>
      </c>
      <c r="F105" s="474"/>
      <c r="G105" s="60">
        <f t="shared" si="5"/>
        <v>0</v>
      </c>
      <c r="H105" s="563">
        <f t="shared" si="7"/>
        <v>0</v>
      </c>
      <c r="I105" s="80"/>
      <c r="J105" s="440"/>
      <c r="K105" s="441"/>
      <c r="L105" s="558"/>
      <c r="M105" s="575">
        <f t="shared" si="8"/>
        <v>0</v>
      </c>
    </row>
    <row r="106" spans="2:13" ht="15">
      <c r="B106" s="59" t="s">
        <v>160</v>
      </c>
      <c r="C106" s="60">
        <f>INDEX(nrBaseLandUseSqFt,27)</f>
        <v>0</v>
      </c>
      <c r="D106" s="85">
        <v>0.0024</v>
      </c>
      <c r="E106" s="60">
        <f t="shared" si="6"/>
        <v>0</v>
      </c>
      <c r="F106" s="474"/>
      <c r="G106" s="60">
        <f t="shared" si="5"/>
        <v>0</v>
      </c>
      <c r="H106" s="563">
        <f t="shared" si="7"/>
        <v>0</v>
      </c>
      <c r="I106" s="80"/>
      <c r="J106" s="440"/>
      <c r="K106" s="441"/>
      <c r="L106" s="558"/>
      <c r="M106" s="575">
        <f t="shared" si="8"/>
        <v>0</v>
      </c>
    </row>
    <row r="107" spans="2:13" ht="15">
      <c r="B107" s="59" t="s">
        <v>159</v>
      </c>
      <c r="C107" s="60">
        <f>INDEX(nrBaseLandUseSqFt,28)</f>
        <v>0</v>
      </c>
      <c r="D107" s="85">
        <v>0.0024</v>
      </c>
      <c r="E107" s="60">
        <f t="shared" si="6"/>
        <v>0</v>
      </c>
      <c r="F107" s="474"/>
      <c r="G107" s="60">
        <f t="shared" si="5"/>
        <v>0</v>
      </c>
      <c r="H107" s="563">
        <f t="shared" si="7"/>
        <v>0</v>
      </c>
      <c r="I107" s="80"/>
      <c r="J107" s="440"/>
      <c r="K107" s="441"/>
      <c r="L107" s="558"/>
      <c r="M107" s="575">
        <f t="shared" si="8"/>
        <v>0</v>
      </c>
    </row>
    <row r="108" spans="2:13" ht="15">
      <c r="B108" s="59" t="s">
        <v>158</v>
      </c>
      <c r="C108" s="60">
        <f>INDEX(nrBaseLandUseSqFt,29)</f>
        <v>0</v>
      </c>
      <c r="D108" s="85">
        <v>0.0024</v>
      </c>
      <c r="E108" s="60">
        <f t="shared" si="6"/>
        <v>0</v>
      </c>
      <c r="F108" s="474"/>
      <c r="G108" s="60">
        <f t="shared" si="5"/>
        <v>0</v>
      </c>
      <c r="H108" s="563">
        <f t="shared" si="7"/>
        <v>0</v>
      </c>
      <c r="I108" s="80"/>
      <c r="J108" s="440"/>
      <c r="K108" s="441"/>
      <c r="L108" s="558"/>
      <c r="M108" s="575">
        <f t="shared" si="8"/>
        <v>0</v>
      </c>
    </row>
    <row r="109" spans="2:13" ht="15">
      <c r="B109" s="59" t="s">
        <v>157</v>
      </c>
      <c r="C109" s="60">
        <f>INDEX(nrBaseLandUseSqFt,30)</f>
        <v>0</v>
      </c>
      <c r="D109" s="85">
        <v>0.0108</v>
      </c>
      <c r="E109" s="60">
        <f t="shared" si="6"/>
        <v>0</v>
      </c>
      <c r="F109" s="474"/>
      <c r="G109" s="60">
        <f t="shared" si="5"/>
        <v>0</v>
      </c>
      <c r="H109" s="563">
        <f t="shared" si="7"/>
        <v>0</v>
      </c>
      <c r="I109" s="80"/>
      <c r="J109" s="440"/>
      <c r="K109" s="441"/>
      <c r="L109" s="558"/>
      <c r="M109" s="575">
        <f t="shared" si="8"/>
        <v>0</v>
      </c>
    </row>
    <row r="110" spans="2:13" ht="15">
      <c r="B110" s="59" t="s">
        <v>156</v>
      </c>
      <c r="C110" s="60">
        <f>INDEX(nrBaseLandUseSqFt,31)</f>
        <v>0</v>
      </c>
      <c r="D110" s="85">
        <v>0.0108</v>
      </c>
      <c r="E110" s="60">
        <f t="shared" si="6"/>
        <v>0</v>
      </c>
      <c r="F110" s="474"/>
      <c r="G110" s="60">
        <f t="shared" si="5"/>
        <v>0</v>
      </c>
      <c r="H110" s="563">
        <f t="shared" si="7"/>
        <v>0</v>
      </c>
      <c r="I110" s="80"/>
      <c r="J110" s="440"/>
      <c r="K110" s="441"/>
      <c r="L110" s="558"/>
      <c r="M110" s="575">
        <f t="shared" si="8"/>
        <v>0</v>
      </c>
    </row>
    <row r="111" spans="2:13" ht="15">
      <c r="B111" s="59" t="s">
        <v>155</v>
      </c>
      <c r="C111" s="60">
        <f>INDEX(nrBaseLandUseSqFt,32)</f>
        <v>0</v>
      </c>
      <c r="D111" s="85">
        <v>0.0108</v>
      </c>
      <c r="E111" s="60">
        <f t="shared" si="6"/>
        <v>0</v>
      </c>
      <c r="F111" s="474"/>
      <c r="G111" s="60">
        <f t="shared" si="5"/>
        <v>0</v>
      </c>
      <c r="H111" s="563">
        <f t="shared" si="7"/>
        <v>0</v>
      </c>
      <c r="I111" s="80"/>
      <c r="J111" s="440"/>
      <c r="K111" s="441"/>
      <c r="L111" s="558"/>
      <c r="M111" s="575">
        <f t="shared" si="8"/>
        <v>0</v>
      </c>
    </row>
    <row r="112" spans="2:13" ht="15">
      <c r="B112" s="59" t="s">
        <v>154</v>
      </c>
      <c r="C112" s="60">
        <f>INDEX(nrBaseLandUseSqFt,33)</f>
        <v>0</v>
      </c>
      <c r="D112" s="85">
        <v>0.0108</v>
      </c>
      <c r="E112" s="60">
        <f t="shared" si="6"/>
        <v>0</v>
      </c>
      <c r="F112" s="474"/>
      <c r="G112" s="60">
        <f t="shared" si="5"/>
        <v>0</v>
      </c>
      <c r="H112" s="563">
        <f t="shared" si="7"/>
        <v>0</v>
      </c>
      <c r="I112" s="80"/>
      <c r="J112" s="440"/>
      <c r="K112" s="441"/>
      <c r="L112" s="558"/>
      <c r="M112" s="575">
        <f t="shared" si="8"/>
        <v>0</v>
      </c>
    </row>
    <row r="113" spans="2:13" ht="15">
      <c r="B113" s="59" t="s">
        <v>153</v>
      </c>
      <c r="C113" s="60">
        <f>INDEX(nrBaseLandUseSqFt,34)</f>
        <v>0</v>
      </c>
      <c r="D113" s="85">
        <v>0.0108</v>
      </c>
      <c r="E113" s="60">
        <f t="shared" si="6"/>
        <v>0</v>
      </c>
      <c r="F113" s="474"/>
      <c r="G113" s="60">
        <f t="shared" si="5"/>
        <v>0</v>
      </c>
      <c r="H113" s="563">
        <f t="shared" si="7"/>
        <v>0</v>
      </c>
      <c r="I113" s="80"/>
      <c r="J113" s="440"/>
      <c r="K113" s="441"/>
      <c r="L113" s="558"/>
      <c r="M113" s="575">
        <f t="shared" si="8"/>
        <v>0</v>
      </c>
    </row>
    <row r="114" spans="2:13" ht="15">
      <c r="B114" s="59" t="s">
        <v>152</v>
      </c>
      <c r="C114" s="60">
        <f>INDEX(nrBaseLandUseSqFt,35)</f>
        <v>0</v>
      </c>
      <c r="D114" s="85">
        <v>0.0024</v>
      </c>
      <c r="E114" s="60">
        <f t="shared" si="6"/>
        <v>0</v>
      </c>
      <c r="F114" s="474"/>
      <c r="G114" s="60">
        <f t="shared" si="5"/>
        <v>0</v>
      </c>
      <c r="H114" s="563">
        <f t="shared" si="7"/>
        <v>0</v>
      </c>
      <c r="I114" s="80"/>
      <c r="J114" s="440"/>
      <c r="K114" s="441"/>
      <c r="L114" s="558"/>
      <c r="M114" s="575">
        <f t="shared" si="8"/>
        <v>0</v>
      </c>
    </row>
    <row r="115" spans="2:13" ht="15">
      <c r="B115" s="59" t="s">
        <v>151</v>
      </c>
      <c r="C115" s="60">
        <f>INDEX(nrBaseLandUseSqFt,36)</f>
        <v>0</v>
      </c>
      <c r="D115" s="85">
        <v>0.0024</v>
      </c>
      <c r="E115" s="60">
        <f t="shared" si="6"/>
        <v>0</v>
      </c>
      <c r="F115" s="474"/>
      <c r="G115" s="60">
        <f t="shared" si="5"/>
        <v>0</v>
      </c>
      <c r="H115" s="563">
        <f t="shared" si="7"/>
        <v>0</v>
      </c>
      <c r="I115" s="80"/>
      <c r="J115" s="440"/>
      <c r="K115" s="441"/>
      <c r="L115" s="558"/>
      <c r="M115" s="575">
        <f t="shared" si="8"/>
        <v>0</v>
      </c>
    </row>
    <row r="116" spans="2:13" ht="15">
      <c r="B116" s="59" t="s">
        <v>150</v>
      </c>
      <c r="C116" s="60">
        <f>INDEX(nrBaseLandUseSqFt,37)</f>
        <v>0</v>
      </c>
      <c r="D116" s="85">
        <v>0.0108</v>
      </c>
      <c r="E116" s="60">
        <f t="shared" si="6"/>
        <v>0</v>
      </c>
      <c r="F116" s="474"/>
      <c r="G116" s="60">
        <f t="shared" si="5"/>
        <v>0</v>
      </c>
      <c r="H116" s="563">
        <f t="shared" si="7"/>
        <v>0</v>
      </c>
      <c r="I116" s="80"/>
      <c r="J116" s="440"/>
      <c r="K116" s="441"/>
      <c r="L116" s="558"/>
      <c r="M116" s="575">
        <f t="shared" si="8"/>
        <v>0</v>
      </c>
    </row>
    <row r="117" spans="2:13" ht="15">
      <c r="B117" s="59" t="s">
        <v>149</v>
      </c>
      <c r="C117" s="60">
        <f>INDEX(nrBaseLandUseSqFt,38)</f>
        <v>0</v>
      </c>
      <c r="D117" s="85">
        <v>0.0108</v>
      </c>
      <c r="E117" s="60">
        <f t="shared" si="6"/>
        <v>0</v>
      </c>
      <c r="F117" s="474"/>
      <c r="G117" s="60">
        <f t="shared" si="5"/>
        <v>0</v>
      </c>
      <c r="H117" s="563">
        <f t="shared" si="7"/>
        <v>0</v>
      </c>
      <c r="I117" s="80"/>
      <c r="J117" s="440"/>
      <c r="K117" s="441"/>
      <c r="L117" s="558"/>
      <c r="M117" s="575">
        <f t="shared" si="8"/>
        <v>0</v>
      </c>
    </row>
    <row r="118" spans="2:13" ht="15">
      <c r="B118" s="59" t="s">
        <v>148</v>
      </c>
      <c r="C118" s="60">
        <f>INDEX(nrBaseLandUseSqFt,39)</f>
        <v>0</v>
      </c>
      <c r="D118" s="85">
        <f>+(1.42/100)/2000*365</f>
        <v>0.0025915</v>
      </c>
      <c r="E118" s="60">
        <f t="shared" si="6"/>
        <v>0</v>
      </c>
      <c r="F118" s="474"/>
      <c r="G118" s="60">
        <f t="shared" si="5"/>
        <v>0</v>
      </c>
      <c r="H118" s="563">
        <f t="shared" si="7"/>
        <v>0</v>
      </c>
      <c r="I118" s="80"/>
      <c r="J118" s="440"/>
      <c r="K118" s="441"/>
      <c r="L118" s="558"/>
      <c r="M118" s="575">
        <f t="shared" si="8"/>
        <v>0</v>
      </c>
    </row>
    <row r="119" spans="2:13" ht="15">
      <c r="B119" s="59" t="s">
        <v>147</v>
      </c>
      <c r="C119" s="60">
        <f>INDEX(nrBaseLandUseSqFt,40)</f>
        <v>0</v>
      </c>
      <c r="D119" s="85">
        <f>0.006/2000*365</f>
        <v>0.001095</v>
      </c>
      <c r="E119" s="60">
        <f t="shared" si="6"/>
        <v>0</v>
      </c>
      <c r="F119" s="474"/>
      <c r="G119" s="60">
        <f t="shared" si="5"/>
        <v>0</v>
      </c>
      <c r="H119" s="563">
        <f t="shared" si="7"/>
        <v>0</v>
      </c>
      <c r="I119" s="80"/>
      <c r="J119" s="440"/>
      <c r="K119" s="441"/>
      <c r="L119" s="558"/>
      <c r="M119" s="575">
        <f t="shared" si="8"/>
        <v>0</v>
      </c>
    </row>
    <row r="120" spans="2:13" ht="15">
      <c r="B120" s="59" t="s">
        <v>146</v>
      </c>
      <c r="C120" s="60">
        <f>INDEX(nrBaseLandUseSqFt,41)</f>
        <v>0</v>
      </c>
      <c r="D120" s="85">
        <f>0.006/2000*365</f>
        <v>0.001095</v>
      </c>
      <c r="E120" s="60">
        <f t="shared" si="6"/>
        <v>0</v>
      </c>
      <c r="F120" s="474"/>
      <c r="G120" s="60">
        <f t="shared" si="5"/>
        <v>0</v>
      </c>
      <c r="H120" s="563">
        <f t="shared" si="7"/>
        <v>0</v>
      </c>
      <c r="I120" s="80"/>
      <c r="J120" s="440"/>
      <c r="K120" s="441"/>
      <c r="L120" s="558"/>
      <c r="M120" s="575">
        <f t="shared" si="8"/>
        <v>0</v>
      </c>
    </row>
    <row r="121" spans="2:13" ht="15">
      <c r="B121" s="59" t="s">
        <v>145</v>
      </c>
      <c r="C121" s="60">
        <f>INDEX(nrBaseLandUseSqFt,42)</f>
        <v>0</v>
      </c>
      <c r="D121" s="85">
        <f>0.006/2000*365</f>
        <v>0.001095</v>
      </c>
      <c r="E121" s="60">
        <f t="shared" si="6"/>
        <v>0</v>
      </c>
      <c r="F121" s="474"/>
      <c r="G121" s="60">
        <f t="shared" si="5"/>
        <v>0</v>
      </c>
      <c r="H121" s="563">
        <f t="shared" si="7"/>
        <v>0</v>
      </c>
      <c r="I121" s="80"/>
      <c r="J121" s="440"/>
      <c r="K121" s="441"/>
      <c r="L121" s="558"/>
      <c r="M121" s="575">
        <f t="shared" si="8"/>
        <v>0</v>
      </c>
    </row>
    <row r="122" spans="2:13" ht="15">
      <c r="B122" s="59" t="s">
        <v>144</v>
      </c>
      <c r="C122" s="60">
        <f>INDEX(nrBaseLandUseSqFt,43)</f>
        <v>0</v>
      </c>
      <c r="D122" s="85">
        <f>(1.42/100)/2000*365</f>
        <v>0.0025915</v>
      </c>
      <c r="E122" s="60">
        <f t="shared" si="6"/>
        <v>0</v>
      </c>
      <c r="F122" s="474"/>
      <c r="G122" s="60">
        <f t="shared" si="5"/>
        <v>0</v>
      </c>
      <c r="H122" s="563">
        <f t="shared" si="7"/>
        <v>0</v>
      </c>
      <c r="I122" s="80"/>
      <c r="J122" s="440"/>
      <c r="K122" s="441"/>
      <c r="L122" s="558"/>
      <c r="M122" s="575">
        <f t="shared" si="8"/>
        <v>0</v>
      </c>
    </row>
    <row r="123" spans="2:11" ht="15">
      <c r="B123" s="59"/>
      <c r="C123" s="60"/>
      <c r="D123" s="60"/>
      <c r="E123" s="86"/>
      <c r="F123" s="300"/>
      <c r="G123" s="86">
        <f>SUM(G77:G122,M81:M122)</f>
        <v>0</v>
      </c>
      <c r="H123" s="563">
        <f>SUM(H77:H122,L81:L122)</f>
        <v>0</v>
      </c>
      <c r="I123" s="80"/>
      <c r="J123"/>
      <c r="K123"/>
    </row>
    <row r="124" spans="2:9" ht="15">
      <c r="B124" s="40"/>
      <c r="C124" s="40"/>
      <c r="D124" s="40"/>
      <c r="E124" s="38"/>
      <c r="F124" s="87"/>
      <c r="G124" s="38"/>
      <c r="H124" s="80"/>
      <c r="I124" s="80"/>
    </row>
    <row r="125" ht="15">
      <c r="C125" s="38"/>
    </row>
    <row r="126" spans="2:6" ht="15">
      <c r="B126" s="189" t="s">
        <v>355</v>
      </c>
      <c r="C126" s="189"/>
      <c r="D126" s="189"/>
      <c r="E126" s="189"/>
      <c r="F126" s="305"/>
    </row>
    <row r="127" spans="2:6" ht="45">
      <c r="B127" s="189"/>
      <c r="C127" s="198" t="s">
        <v>356</v>
      </c>
      <c r="D127" s="198" t="s">
        <v>357</v>
      </c>
      <c r="E127" s="198" t="s">
        <v>358</v>
      </c>
      <c r="F127" s="305"/>
    </row>
    <row r="128" spans="2:6" ht="15">
      <c r="B128" s="189" t="s">
        <v>359</v>
      </c>
      <c r="C128" s="190">
        <v>3.1</v>
      </c>
      <c r="D128" s="190">
        <v>0.64</v>
      </c>
      <c r="E128" s="190">
        <v>0.3</v>
      </c>
      <c r="F128" s="305"/>
    </row>
    <row r="129" spans="2:6" ht="15">
      <c r="B129" s="189"/>
      <c r="C129" s="190"/>
      <c r="D129" s="190"/>
      <c r="E129" s="190"/>
      <c r="F129" s="305"/>
    </row>
    <row r="130" spans="2:6" ht="15">
      <c r="B130" s="189"/>
      <c r="C130" s="190" t="s">
        <v>360</v>
      </c>
      <c r="D130" s="190"/>
      <c r="E130" s="190"/>
      <c r="F130" s="305"/>
    </row>
    <row r="131" spans="2:6" ht="15">
      <c r="B131" s="200" t="s">
        <v>56</v>
      </c>
      <c r="C131" s="190" t="s">
        <v>361</v>
      </c>
      <c r="D131" s="190" t="s">
        <v>362</v>
      </c>
      <c r="E131" s="190"/>
      <c r="F131" s="305"/>
    </row>
    <row r="132" spans="2:6" ht="15">
      <c r="B132" s="200">
        <v>2005</v>
      </c>
      <c r="C132" s="190">
        <v>1723.5</v>
      </c>
      <c r="D132" s="190">
        <v>0.06</v>
      </c>
      <c r="E132" s="190"/>
      <c r="F132" s="305"/>
    </row>
    <row r="133" spans="2:6" ht="15">
      <c r="B133" s="200">
        <v>2006</v>
      </c>
      <c r="C133" s="190">
        <v>1733</v>
      </c>
      <c r="D133" s="190">
        <v>0.06</v>
      </c>
      <c r="E133" s="190"/>
      <c r="F133" s="305"/>
    </row>
    <row r="134" spans="2:6" ht="15">
      <c r="B134" s="200">
        <v>2007</v>
      </c>
      <c r="C134" s="190">
        <v>1740.8</v>
      </c>
      <c r="D134" s="190">
        <v>0.06</v>
      </c>
      <c r="E134" s="190"/>
      <c r="F134" s="305"/>
    </row>
    <row r="135" spans="2:6" ht="15">
      <c r="B135" s="200">
        <v>2008</v>
      </c>
      <c r="C135" s="190">
        <v>1748.4</v>
      </c>
      <c r="D135" s="190">
        <v>0.05</v>
      </c>
      <c r="E135" s="190"/>
      <c r="F135" s="305"/>
    </row>
    <row r="136" spans="2:6" ht="15">
      <c r="B136" s="200">
        <v>2009</v>
      </c>
      <c r="C136" s="190">
        <v>1755.8</v>
      </c>
      <c r="D136" s="190">
        <v>0.05</v>
      </c>
      <c r="E136" s="190"/>
      <c r="F136" s="305"/>
    </row>
    <row r="137" spans="2:6" ht="15">
      <c r="B137" s="200">
        <v>2010</v>
      </c>
      <c r="C137" s="190">
        <v>1763</v>
      </c>
      <c r="D137" s="190">
        <v>0.045</v>
      </c>
      <c r="E137" s="190"/>
      <c r="F137" s="305"/>
    </row>
    <row r="138" spans="2:6" ht="15">
      <c r="B138" s="200">
        <f aca="true" t="shared" si="10" ref="B138:B147">1+B137</f>
        <v>2011</v>
      </c>
      <c r="C138" s="190">
        <v>1769.3</v>
      </c>
      <c r="D138" s="190">
        <v>0.042</v>
      </c>
      <c r="E138" s="190"/>
      <c r="F138" s="305"/>
    </row>
    <row r="139" spans="2:6" ht="15">
      <c r="B139" s="200">
        <f t="shared" si="10"/>
        <v>2012</v>
      </c>
      <c r="C139" s="190">
        <v>1775</v>
      </c>
      <c r="D139" s="190">
        <v>0.038</v>
      </c>
      <c r="E139" s="190"/>
      <c r="F139" s="305"/>
    </row>
    <row r="140" spans="2:6" ht="15">
      <c r="B140" s="200">
        <f t="shared" si="10"/>
        <v>2013</v>
      </c>
      <c r="C140" s="190">
        <v>1780.4</v>
      </c>
      <c r="D140" s="190">
        <v>0.035</v>
      </c>
      <c r="E140" s="190"/>
      <c r="F140" s="305"/>
    </row>
    <row r="141" spans="2:6" ht="15">
      <c r="B141" s="200">
        <f t="shared" si="10"/>
        <v>2014</v>
      </c>
      <c r="C141" s="190">
        <v>1785.1</v>
      </c>
      <c r="D141" s="190">
        <v>0.032</v>
      </c>
      <c r="E141" s="190"/>
      <c r="F141" s="305"/>
    </row>
    <row r="142" spans="2:6" ht="15">
      <c r="B142" s="200">
        <f t="shared" si="10"/>
        <v>2015</v>
      </c>
      <c r="C142" s="190">
        <v>1789.2</v>
      </c>
      <c r="D142" s="190">
        <v>0.029</v>
      </c>
      <c r="E142" s="190"/>
      <c r="F142" s="305"/>
    </row>
    <row r="143" spans="2:6" ht="15">
      <c r="B143" s="200">
        <f t="shared" si="10"/>
        <v>2016</v>
      </c>
      <c r="C143" s="190">
        <v>1792.9</v>
      </c>
      <c r="D143" s="190">
        <v>0.027</v>
      </c>
      <c r="E143" s="190"/>
      <c r="F143" s="305"/>
    </row>
    <row r="144" spans="2:6" ht="15">
      <c r="B144" s="200">
        <f t="shared" si="10"/>
        <v>2017</v>
      </c>
      <c r="C144" s="190">
        <v>1796.2</v>
      </c>
      <c r="D144" s="190">
        <v>0.025</v>
      </c>
      <c r="E144" s="190"/>
      <c r="F144" s="305"/>
    </row>
    <row r="145" spans="2:6" ht="15">
      <c r="B145" s="200">
        <f t="shared" si="10"/>
        <v>2018</v>
      </c>
      <c r="C145" s="190">
        <v>1799</v>
      </c>
      <c r="D145" s="190">
        <v>0.023</v>
      </c>
      <c r="E145" s="190"/>
      <c r="F145" s="305"/>
    </row>
    <row r="146" spans="2:6" ht="15">
      <c r="B146" s="200">
        <f t="shared" si="10"/>
        <v>2019</v>
      </c>
      <c r="C146" s="190">
        <v>1801.6</v>
      </c>
      <c r="D146" s="190">
        <v>0.021</v>
      </c>
      <c r="E146" s="190"/>
      <c r="F146" s="305"/>
    </row>
    <row r="147" spans="2:6" ht="15">
      <c r="B147" s="200">
        <f t="shared" si="10"/>
        <v>2020</v>
      </c>
      <c r="C147" s="190">
        <v>1803.6</v>
      </c>
      <c r="D147" s="190">
        <v>0.019</v>
      </c>
      <c r="E147" s="190"/>
      <c r="F147" s="305"/>
    </row>
    <row r="148" spans="2:6" ht="15">
      <c r="B148" s="200">
        <v>2025</v>
      </c>
      <c r="C148" s="190">
        <v>1809.7</v>
      </c>
      <c r="D148" s="190">
        <v>0.015</v>
      </c>
      <c r="E148" s="190"/>
      <c r="F148" s="305"/>
    </row>
    <row r="149" spans="2:6" ht="15">
      <c r="B149" s="200">
        <v>2030</v>
      </c>
      <c r="C149" s="190">
        <v>1812.1</v>
      </c>
      <c r="D149" s="190">
        <v>0.013</v>
      </c>
      <c r="E149" s="190"/>
      <c r="F149" s="305"/>
    </row>
    <row r="150" spans="2:6" ht="15">
      <c r="B150" s="200">
        <v>2035</v>
      </c>
      <c r="C150" s="190">
        <v>1813.4</v>
      </c>
      <c r="D150" s="190">
        <v>0.012</v>
      </c>
      <c r="E150" s="190"/>
      <c r="F150" s="305"/>
    </row>
    <row r="151" spans="2:6" ht="15">
      <c r="B151" s="200">
        <v>2040</v>
      </c>
      <c r="C151" s="190">
        <v>1813.8</v>
      </c>
      <c r="D151" s="190">
        <v>0.012</v>
      </c>
      <c r="E151" s="190"/>
      <c r="F151" s="305"/>
    </row>
    <row r="152" ht="15">
      <c r="E152" s="82"/>
    </row>
    <row r="153" ht="15">
      <c r="E153" s="82"/>
    </row>
    <row r="154" spans="2:10" ht="15">
      <c r="B154" s="190" t="s">
        <v>104</v>
      </c>
      <c r="C154" s="198"/>
      <c r="D154" s="40"/>
      <c r="E154" s="40"/>
      <c r="F154" s="40"/>
      <c r="G154" s="40"/>
      <c r="H154" s="40"/>
      <c r="I154" s="40"/>
      <c r="J154" s="40"/>
    </row>
    <row r="155" spans="2:10" ht="45">
      <c r="B155" s="190" t="s">
        <v>56</v>
      </c>
      <c r="C155" s="198" t="s">
        <v>105</v>
      </c>
      <c r="D155" s="565" t="s">
        <v>725</v>
      </c>
      <c r="E155" s="40"/>
      <c r="F155" s="40"/>
      <c r="G155" s="40"/>
      <c r="H155" s="40"/>
      <c r="I155" s="40"/>
      <c r="J155" s="40"/>
    </row>
    <row r="156" spans="2:10" ht="15">
      <c r="B156" s="200">
        <v>2010</v>
      </c>
      <c r="C156" s="190">
        <v>0</v>
      </c>
      <c r="D156" s="566">
        <f>0.72*C156</f>
        <v>0</v>
      </c>
      <c r="E156" s="40" t="s">
        <v>106</v>
      </c>
      <c r="F156" s="40"/>
      <c r="G156" s="40"/>
      <c r="H156" s="40"/>
      <c r="I156" s="40"/>
      <c r="J156" s="40"/>
    </row>
    <row r="157" spans="2:10" ht="15">
      <c r="B157" s="200">
        <f aca="true" t="shared" si="11" ref="B157:B185">1+B156</f>
        <v>2011</v>
      </c>
      <c r="C157" s="190">
        <v>0.25</v>
      </c>
      <c r="D157" s="566">
        <f aca="true" t="shared" si="12" ref="D157:D186">0.72*C157</f>
        <v>0.18</v>
      </c>
      <c r="E157" s="40" t="s">
        <v>107</v>
      </c>
      <c r="F157" s="40"/>
      <c r="G157" s="40"/>
      <c r="H157" s="40"/>
      <c r="I157" s="40"/>
      <c r="J157" s="40"/>
    </row>
    <row r="158" spans="2:10" ht="15">
      <c r="B158" s="200">
        <f t="shared" si="11"/>
        <v>2012</v>
      </c>
      <c r="C158" s="190">
        <v>0.5</v>
      </c>
      <c r="D158" s="566">
        <f t="shared" si="12"/>
        <v>0.36</v>
      </c>
      <c r="E158" s="40" t="s">
        <v>108</v>
      </c>
      <c r="F158" s="40"/>
      <c r="G158" s="40"/>
      <c r="H158" s="40"/>
      <c r="I158" s="40"/>
      <c r="J158" s="40"/>
    </row>
    <row r="159" spans="2:10" ht="15">
      <c r="B159" s="200">
        <f t="shared" si="11"/>
        <v>2013</v>
      </c>
      <c r="C159" s="190">
        <v>1</v>
      </c>
      <c r="D159" s="566">
        <f t="shared" si="12"/>
        <v>0.72</v>
      </c>
      <c r="E159" s="40" t="s">
        <v>109</v>
      </c>
      <c r="F159" s="40"/>
      <c r="G159" s="40"/>
      <c r="H159" s="40"/>
      <c r="I159" s="40"/>
      <c r="J159" s="40"/>
    </row>
    <row r="160" spans="2:10" ht="15">
      <c r="B160" s="200">
        <f t="shared" si="11"/>
        <v>2014</v>
      </c>
      <c r="C160" s="190">
        <v>1.5</v>
      </c>
      <c r="D160" s="566">
        <f t="shared" si="12"/>
        <v>1.08</v>
      </c>
      <c r="E160" s="40" t="s">
        <v>110</v>
      </c>
      <c r="F160" s="40"/>
      <c r="G160" s="40"/>
      <c r="H160" s="40"/>
      <c r="I160" s="40"/>
      <c r="J160" s="40"/>
    </row>
    <row r="161" spans="2:10" ht="15">
      <c r="B161" s="200">
        <f t="shared" si="11"/>
        <v>2015</v>
      </c>
      <c r="C161" s="190">
        <v>2.5</v>
      </c>
      <c r="D161" s="566">
        <f t="shared" si="12"/>
        <v>1.7999999999999998</v>
      </c>
      <c r="E161" s="40" t="s">
        <v>111</v>
      </c>
      <c r="F161" s="40"/>
      <c r="G161" s="40"/>
      <c r="H161" s="40"/>
      <c r="I161" s="40"/>
      <c r="J161" s="40"/>
    </row>
    <row r="162" spans="2:10" ht="15">
      <c r="B162" s="200">
        <f t="shared" si="11"/>
        <v>2016</v>
      </c>
      <c r="C162" s="190">
        <v>3.5</v>
      </c>
      <c r="D162" s="566">
        <f t="shared" si="12"/>
        <v>2.52</v>
      </c>
      <c r="E162" s="40"/>
      <c r="F162" s="40"/>
      <c r="G162" s="40"/>
      <c r="H162" s="40"/>
      <c r="I162" s="40"/>
      <c r="J162" s="40"/>
    </row>
    <row r="163" spans="2:10" ht="15">
      <c r="B163" s="200">
        <f t="shared" si="11"/>
        <v>2017</v>
      </c>
      <c r="C163" s="190">
        <v>5</v>
      </c>
      <c r="D163" s="566">
        <f t="shared" si="12"/>
        <v>3.5999999999999996</v>
      </c>
      <c r="E163" s="40"/>
      <c r="F163" s="40"/>
      <c r="G163" s="40"/>
      <c r="H163" s="40"/>
      <c r="I163" s="40"/>
      <c r="J163" s="40"/>
    </row>
    <row r="164" spans="2:10" ht="15">
      <c r="B164" s="200">
        <f t="shared" si="11"/>
        <v>2018</v>
      </c>
      <c r="C164" s="190">
        <v>6.5</v>
      </c>
      <c r="D164" s="566">
        <f t="shared" si="12"/>
        <v>4.68</v>
      </c>
      <c r="E164" s="40"/>
      <c r="F164" s="40"/>
      <c r="G164" s="40"/>
      <c r="H164" s="40"/>
      <c r="I164" s="40"/>
      <c r="J164" s="40"/>
    </row>
    <row r="165" spans="2:10" ht="15">
      <c r="B165" s="200">
        <f t="shared" si="11"/>
        <v>2019</v>
      </c>
      <c r="C165" s="190">
        <v>8</v>
      </c>
      <c r="D165" s="566">
        <f t="shared" si="12"/>
        <v>5.76</v>
      </c>
      <c r="E165" s="40"/>
      <c r="F165" s="40"/>
      <c r="G165" s="40"/>
      <c r="H165" s="40"/>
      <c r="I165" s="40"/>
      <c r="J165" s="40"/>
    </row>
    <row r="166" spans="2:10" ht="15">
      <c r="B166" s="200">
        <f t="shared" si="11"/>
        <v>2020</v>
      </c>
      <c r="C166" s="190">
        <v>10</v>
      </c>
      <c r="D166" s="566">
        <f t="shared" si="12"/>
        <v>7.199999999999999</v>
      </c>
      <c r="E166" s="40"/>
      <c r="F166" s="40"/>
      <c r="G166" s="40"/>
      <c r="H166" s="40"/>
      <c r="I166" s="40"/>
      <c r="J166" s="40"/>
    </row>
    <row r="167" spans="2:10" ht="15">
      <c r="B167" s="200">
        <f t="shared" si="11"/>
        <v>2021</v>
      </c>
      <c r="C167" s="190">
        <v>10</v>
      </c>
      <c r="D167" s="566">
        <f t="shared" si="12"/>
        <v>7.199999999999999</v>
      </c>
      <c r="E167" s="40"/>
      <c r="F167" s="40"/>
      <c r="G167" s="40"/>
      <c r="H167" s="40"/>
      <c r="I167" s="40"/>
      <c r="J167" s="40"/>
    </row>
    <row r="168" spans="2:10" ht="15">
      <c r="B168" s="200">
        <f t="shared" si="11"/>
        <v>2022</v>
      </c>
      <c r="C168" s="190">
        <v>10</v>
      </c>
      <c r="D168" s="566">
        <f t="shared" si="12"/>
        <v>7.199999999999999</v>
      </c>
      <c r="E168" s="40"/>
      <c r="F168" s="40"/>
      <c r="G168" s="40"/>
      <c r="H168" s="40"/>
      <c r="I168" s="40"/>
      <c r="J168" s="40"/>
    </row>
    <row r="169" spans="2:10" ht="15">
      <c r="B169" s="200">
        <f t="shared" si="11"/>
        <v>2023</v>
      </c>
      <c r="C169" s="190">
        <v>10</v>
      </c>
      <c r="D169" s="566">
        <f t="shared" si="12"/>
        <v>7.199999999999999</v>
      </c>
      <c r="E169" s="40"/>
      <c r="F169" s="40"/>
      <c r="G169" s="40"/>
      <c r="H169" s="40"/>
      <c r="I169" s="40"/>
      <c r="J169" s="40"/>
    </row>
    <row r="170" spans="2:10" ht="15">
      <c r="B170" s="200">
        <f t="shared" si="11"/>
        <v>2024</v>
      </c>
      <c r="C170" s="190">
        <v>10</v>
      </c>
      <c r="D170" s="566">
        <f t="shared" si="12"/>
        <v>7.199999999999999</v>
      </c>
      <c r="E170" s="40"/>
      <c r="F170" s="40"/>
      <c r="G170" s="40"/>
      <c r="H170" s="40"/>
      <c r="I170" s="40"/>
      <c r="J170" s="40"/>
    </row>
    <row r="171" spans="2:10" ht="15">
      <c r="B171" s="200">
        <f t="shared" si="11"/>
        <v>2025</v>
      </c>
      <c r="C171" s="190">
        <v>10</v>
      </c>
      <c r="D171" s="566">
        <f t="shared" si="12"/>
        <v>7.199999999999999</v>
      </c>
      <c r="E171" s="40"/>
      <c r="F171" s="40"/>
      <c r="G171" s="40"/>
      <c r="H171" s="40"/>
      <c r="I171" s="40"/>
      <c r="J171" s="40"/>
    </row>
    <row r="172" spans="2:10" ht="15">
      <c r="B172" s="200">
        <f t="shared" si="11"/>
        <v>2026</v>
      </c>
      <c r="C172" s="190">
        <v>10</v>
      </c>
      <c r="D172" s="566">
        <f t="shared" si="12"/>
        <v>7.199999999999999</v>
      </c>
      <c r="E172" s="40"/>
      <c r="F172" s="40"/>
      <c r="G172" s="40"/>
      <c r="H172" s="40"/>
      <c r="I172" s="40"/>
      <c r="J172" s="40"/>
    </row>
    <row r="173" spans="2:10" ht="15">
      <c r="B173" s="200">
        <f t="shared" si="11"/>
        <v>2027</v>
      </c>
      <c r="C173" s="190">
        <v>10</v>
      </c>
      <c r="D173" s="566">
        <f t="shared" si="12"/>
        <v>7.199999999999999</v>
      </c>
      <c r="E173" s="40"/>
      <c r="F173" s="40"/>
      <c r="G173" s="40"/>
      <c r="H173" s="40"/>
      <c r="I173" s="40"/>
      <c r="J173" s="40"/>
    </row>
    <row r="174" spans="2:10" ht="15">
      <c r="B174" s="200">
        <f t="shared" si="11"/>
        <v>2028</v>
      </c>
      <c r="C174" s="190">
        <v>10</v>
      </c>
      <c r="D174" s="566">
        <f t="shared" si="12"/>
        <v>7.199999999999999</v>
      </c>
      <c r="E174" s="40"/>
      <c r="F174" s="40"/>
      <c r="G174" s="40"/>
      <c r="H174" s="40"/>
      <c r="I174" s="40"/>
      <c r="J174" s="40"/>
    </row>
    <row r="175" spans="2:10" ht="15">
      <c r="B175" s="200">
        <f t="shared" si="11"/>
        <v>2029</v>
      </c>
      <c r="C175" s="190">
        <v>10</v>
      </c>
      <c r="D175" s="566">
        <f t="shared" si="12"/>
        <v>7.199999999999999</v>
      </c>
      <c r="E175" s="40"/>
      <c r="F175" s="40"/>
      <c r="G175" s="40"/>
      <c r="H175" s="40"/>
      <c r="I175" s="40"/>
      <c r="J175" s="40"/>
    </row>
    <row r="176" spans="2:10" ht="15">
      <c r="B176" s="200">
        <f t="shared" si="11"/>
        <v>2030</v>
      </c>
      <c r="C176" s="190">
        <v>10</v>
      </c>
      <c r="D176" s="566">
        <f t="shared" si="12"/>
        <v>7.199999999999999</v>
      </c>
      <c r="E176" s="40"/>
      <c r="F176" s="40"/>
      <c r="G176" s="40"/>
      <c r="H176" s="40"/>
      <c r="I176" s="40"/>
      <c r="J176" s="40"/>
    </row>
    <row r="177" spans="2:10" ht="15">
      <c r="B177" s="200">
        <f t="shared" si="11"/>
        <v>2031</v>
      </c>
      <c r="C177" s="190">
        <v>10</v>
      </c>
      <c r="D177" s="566">
        <f t="shared" si="12"/>
        <v>7.199999999999999</v>
      </c>
      <c r="E177" s="40"/>
      <c r="F177" s="40"/>
      <c r="G177" s="40"/>
      <c r="H177" s="40"/>
      <c r="I177" s="40"/>
      <c r="J177" s="40"/>
    </row>
    <row r="178" spans="2:10" ht="15">
      <c r="B178" s="200">
        <f t="shared" si="11"/>
        <v>2032</v>
      </c>
      <c r="C178" s="190">
        <v>10</v>
      </c>
      <c r="D178" s="566">
        <f t="shared" si="12"/>
        <v>7.199999999999999</v>
      </c>
      <c r="E178" s="40"/>
      <c r="F178" s="40"/>
      <c r="G178" s="40"/>
      <c r="H178" s="40"/>
      <c r="I178" s="40"/>
      <c r="J178" s="40"/>
    </row>
    <row r="179" spans="2:10" ht="15">
      <c r="B179" s="200">
        <f t="shared" si="11"/>
        <v>2033</v>
      </c>
      <c r="C179" s="190">
        <v>10</v>
      </c>
      <c r="D179" s="566">
        <f t="shared" si="12"/>
        <v>7.199999999999999</v>
      </c>
      <c r="E179" s="40"/>
      <c r="F179" s="40"/>
      <c r="G179" s="40"/>
      <c r="H179" s="40"/>
      <c r="I179" s="40"/>
      <c r="J179" s="40"/>
    </row>
    <row r="180" spans="2:10" ht="15">
      <c r="B180" s="200">
        <f t="shared" si="11"/>
        <v>2034</v>
      </c>
      <c r="C180" s="190">
        <v>10</v>
      </c>
      <c r="D180" s="566">
        <f t="shared" si="12"/>
        <v>7.199999999999999</v>
      </c>
      <c r="E180" s="40"/>
      <c r="F180" s="40"/>
      <c r="G180" s="40"/>
      <c r="H180" s="40"/>
      <c r="I180" s="40"/>
      <c r="J180" s="40"/>
    </row>
    <row r="181" spans="2:10" ht="15">
      <c r="B181" s="200">
        <f t="shared" si="11"/>
        <v>2035</v>
      </c>
      <c r="C181" s="190">
        <v>10</v>
      </c>
      <c r="D181" s="566">
        <f t="shared" si="12"/>
        <v>7.199999999999999</v>
      </c>
      <c r="E181" s="40"/>
      <c r="F181" s="40"/>
      <c r="G181" s="40"/>
      <c r="H181" s="40"/>
      <c r="I181" s="40"/>
      <c r="J181" s="40"/>
    </row>
    <row r="182" spans="2:10" ht="15">
      <c r="B182" s="200">
        <f t="shared" si="11"/>
        <v>2036</v>
      </c>
      <c r="C182" s="190">
        <v>10</v>
      </c>
      <c r="D182" s="566">
        <f t="shared" si="12"/>
        <v>7.199999999999999</v>
      </c>
      <c r="E182" s="40"/>
      <c r="F182" s="40"/>
      <c r="G182" s="40"/>
      <c r="H182" s="40"/>
      <c r="I182" s="40"/>
      <c r="J182" s="40"/>
    </row>
    <row r="183" spans="2:10" ht="15">
      <c r="B183" s="200">
        <f t="shared" si="11"/>
        <v>2037</v>
      </c>
      <c r="C183" s="190">
        <v>10</v>
      </c>
      <c r="D183" s="566">
        <f t="shared" si="12"/>
        <v>7.199999999999999</v>
      </c>
      <c r="E183" s="40"/>
      <c r="F183" s="40"/>
      <c r="G183" s="40"/>
      <c r="H183" s="40"/>
      <c r="I183" s="40"/>
      <c r="J183" s="40"/>
    </row>
    <row r="184" spans="2:10" ht="15">
      <c r="B184" s="200">
        <f t="shared" si="11"/>
        <v>2038</v>
      </c>
      <c r="C184" s="190">
        <v>10</v>
      </c>
      <c r="D184" s="566">
        <f t="shared" si="12"/>
        <v>7.199999999999999</v>
      </c>
      <c r="E184" s="40"/>
      <c r="F184" s="40"/>
      <c r="G184" s="40"/>
      <c r="H184" s="40"/>
      <c r="I184" s="40"/>
      <c r="J184" s="40"/>
    </row>
    <row r="185" spans="2:10" ht="15">
      <c r="B185" s="200">
        <f t="shared" si="11"/>
        <v>2039</v>
      </c>
      <c r="C185" s="190">
        <v>10</v>
      </c>
      <c r="D185" s="566">
        <f t="shared" si="12"/>
        <v>7.199999999999999</v>
      </c>
      <c r="E185" s="40"/>
      <c r="F185" s="40"/>
      <c r="G185" s="40"/>
      <c r="H185" s="40"/>
      <c r="I185" s="40"/>
      <c r="J185" s="40"/>
    </row>
    <row r="186" spans="2:10" ht="15">
      <c r="B186" s="200">
        <f>+B185+1</f>
        <v>2040</v>
      </c>
      <c r="C186" s="190">
        <v>10</v>
      </c>
      <c r="D186" s="566">
        <f t="shared" si="12"/>
        <v>7.199999999999999</v>
      </c>
      <c r="E186" s="40"/>
      <c r="F186" s="40"/>
      <c r="G186" s="40"/>
      <c r="H186" s="40"/>
      <c r="I186" s="40"/>
      <c r="J186" s="40"/>
    </row>
    <row r="187" spans="4:10" ht="15">
      <c r="D187" s="40"/>
      <c r="E187" s="40"/>
      <c r="F187" s="40"/>
      <c r="G187" s="40"/>
      <c r="H187" s="40"/>
      <c r="I187" s="40"/>
      <c r="J187" s="40"/>
    </row>
  </sheetData>
  <sheetProtection password="A20C" sheet="1" objects="1" scenarios="1"/>
  <mergeCells count="94">
    <mergeCell ref="J72:K72"/>
    <mergeCell ref="J73:K73"/>
    <mergeCell ref="J66:K66"/>
    <mergeCell ref="J67:K67"/>
    <mergeCell ref="J68:K68"/>
    <mergeCell ref="J69:K69"/>
    <mergeCell ref="J70:K70"/>
    <mergeCell ref="J61:K61"/>
    <mergeCell ref="J62:K62"/>
    <mergeCell ref="J65:K65"/>
    <mergeCell ref="J71:K71"/>
    <mergeCell ref="J63:K63"/>
    <mergeCell ref="J64:K64"/>
    <mergeCell ref="J53:K53"/>
    <mergeCell ref="J54:K54"/>
    <mergeCell ref="J55:K55"/>
    <mergeCell ref="J56:K56"/>
    <mergeCell ref="J57:K57"/>
    <mergeCell ref="J58:K58"/>
    <mergeCell ref="J59:K59"/>
    <mergeCell ref="J60:K60"/>
    <mergeCell ref="J52:K52"/>
    <mergeCell ref="J41:K41"/>
    <mergeCell ref="J42:K42"/>
    <mergeCell ref="J43:K43"/>
    <mergeCell ref="J44:K44"/>
    <mergeCell ref="J45:K45"/>
    <mergeCell ref="J46:K46"/>
    <mergeCell ref="J47:K47"/>
    <mergeCell ref="J48:K48"/>
    <mergeCell ref="J49:K49"/>
    <mergeCell ref="J36:K36"/>
    <mergeCell ref="J37:K37"/>
    <mergeCell ref="J38:K38"/>
    <mergeCell ref="J51:K51"/>
    <mergeCell ref="J50:K50"/>
    <mergeCell ref="J39:K39"/>
    <mergeCell ref="J40:K40"/>
    <mergeCell ref="F25:G25"/>
    <mergeCell ref="B3:D3"/>
    <mergeCell ref="F22:G22"/>
    <mergeCell ref="F16:G16"/>
    <mergeCell ref="F23:G23"/>
    <mergeCell ref="F24:G24"/>
    <mergeCell ref="C6:E6"/>
    <mergeCell ref="J35:K35"/>
    <mergeCell ref="J84:K84"/>
    <mergeCell ref="I6:K6"/>
    <mergeCell ref="J31:K31"/>
    <mergeCell ref="J32:K32"/>
    <mergeCell ref="J33:K33"/>
    <mergeCell ref="J34:K34"/>
    <mergeCell ref="J80:K80"/>
    <mergeCell ref="J81:K81"/>
    <mergeCell ref="J82:K82"/>
    <mergeCell ref="J83:K83"/>
    <mergeCell ref="J94:K94"/>
    <mergeCell ref="J85:K85"/>
    <mergeCell ref="J86:K86"/>
    <mergeCell ref="J87:K87"/>
    <mergeCell ref="J88:K88"/>
    <mergeCell ref="J89:K89"/>
    <mergeCell ref="J90:K90"/>
    <mergeCell ref="J91:K91"/>
    <mergeCell ref="J92:K92"/>
    <mergeCell ref="J93:K93"/>
    <mergeCell ref="J104:K104"/>
    <mergeCell ref="J95:K95"/>
    <mergeCell ref="J96:K96"/>
    <mergeCell ref="J97:K97"/>
    <mergeCell ref="J98:K98"/>
    <mergeCell ref="J99:K99"/>
    <mergeCell ref="J100:K100"/>
    <mergeCell ref="J101:K101"/>
    <mergeCell ref="J102:K102"/>
    <mergeCell ref="J103:K103"/>
    <mergeCell ref="J114:K114"/>
    <mergeCell ref="J105:K105"/>
    <mergeCell ref="J106:K106"/>
    <mergeCell ref="J107:K107"/>
    <mergeCell ref="J108:K108"/>
    <mergeCell ref="J109:K109"/>
    <mergeCell ref="J110:K110"/>
    <mergeCell ref="J111:K111"/>
    <mergeCell ref="J112:K112"/>
    <mergeCell ref="J113:K113"/>
    <mergeCell ref="J120:K120"/>
    <mergeCell ref="J121:K121"/>
    <mergeCell ref="J122:K122"/>
    <mergeCell ref="J115:K115"/>
    <mergeCell ref="J116:K116"/>
    <mergeCell ref="J117:K117"/>
    <mergeCell ref="J118:K118"/>
    <mergeCell ref="J119:K119"/>
  </mergeCells>
  <hyperlinks>
    <hyperlink ref="B1:N1" location="'Table of Contents'!B3" display="Table of Contents"/>
    <hyperlink ref="J14" location="Mitigation!B3" display="Mitigation"/>
  </hyperlinks>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wksAgV">
    <tabColor theme="6" tint="-0.24997000396251678"/>
  </sheetPr>
  <dimension ref="A1:Z124"/>
  <sheetViews>
    <sheetView showGridLines="0" showRowColHeaders="0" zoomScale="80" zoomScaleNormal="80" zoomScalePageLayoutView="0" workbookViewId="0" topLeftCell="A1">
      <selection activeCell="A5" sqref="A5"/>
    </sheetView>
  </sheetViews>
  <sheetFormatPr defaultColWidth="9.140625" defaultRowHeight="15"/>
  <cols>
    <col min="1" max="1" width="5.7109375" style="30" customWidth="1"/>
    <col min="2" max="2" width="25.00390625" style="30" customWidth="1"/>
    <col min="3" max="3" width="17.421875" style="30" customWidth="1"/>
    <col min="4" max="4" width="21.28125" style="30" customWidth="1"/>
    <col min="5" max="5" width="24.57421875" style="30" customWidth="1"/>
    <col min="6" max="6" width="18.8515625" style="30" customWidth="1"/>
    <col min="7" max="7" width="14.421875" style="30" customWidth="1"/>
    <col min="8" max="8" width="11.28125" style="30" customWidth="1"/>
    <col min="9" max="9" width="24.140625" style="30" customWidth="1"/>
    <col min="10" max="10" width="20.00390625" style="30" customWidth="1"/>
    <col min="11" max="11" width="20.421875" style="30" customWidth="1"/>
    <col min="12" max="12" width="18.8515625" style="30" customWidth="1"/>
    <col min="13" max="13" width="19.140625" style="30" customWidth="1"/>
    <col min="14" max="14" width="14.421875" style="30" customWidth="1"/>
    <col min="15" max="16384" width="9.140625" style="30" customWidth="1"/>
  </cols>
  <sheetData>
    <row r="1" spans="2:14" ht="15" customHeight="1">
      <c r="B1" s="34" t="s">
        <v>177</v>
      </c>
      <c r="M1" s="34"/>
      <c r="N1" s="34"/>
    </row>
    <row r="2" ht="15" customHeight="1"/>
    <row r="3" spans="1:26" ht="26.25" customHeight="1">
      <c r="A3" s="12"/>
      <c r="B3" s="626" t="s">
        <v>10</v>
      </c>
      <c r="C3" s="626"/>
      <c r="D3" s="626"/>
      <c r="E3" s="12"/>
      <c r="F3" s="12"/>
      <c r="G3" s="12"/>
      <c r="H3" s="12"/>
      <c r="I3" s="12"/>
      <c r="J3" s="12"/>
      <c r="K3" s="12"/>
      <c r="L3" s="12"/>
      <c r="M3" s="12"/>
      <c r="N3" s="12"/>
      <c r="O3" s="12"/>
      <c r="P3" s="12"/>
      <c r="Q3" s="12"/>
      <c r="R3" s="12"/>
      <c r="S3" s="12"/>
      <c r="T3" s="12"/>
      <c r="U3" s="12"/>
      <c r="V3" s="12"/>
      <c r="W3" s="12"/>
      <c r="X3" s="12"/>
      <c r="Y3" s="12"/>
      <c r="Z3" s="12"/>
    </row>
    <row r="4" spans="2:3" ht="15">
      <c r="B4" s="510" t="s">
        <v>679</v>
      </c>
      <c r="C4" s="30" t="str">
        <f>IF(+nrUseBaseline,"ON","OFF")</f>
        <v>ON</v>
      </c>
    </row>
    <row r="5" ht="15.75" thickBot="1">
      <c r="B5" s="68"/>
    </row>
    <row r="6" spans="2:6" ht="15.75">
      <c r="B6" s="397"/>
      <c r="C6" s="302"/>
      <c r="D6" s="616" t="s">
        <v>10</v>
      </c>
      <c r="E6" s="616"/>
      <c r="F6" s="422"/>
    </row>
    <row r="7" spans="2:11" ht="16.5" thickBot="1">
      <c r="B7" s="400"/>
      <c r="C7" s="40"/>
      <c r="D7" s="97" t="s">
        <v>113</v>
      </c>
      <c r="E7" s="97" t="s">
        <v>114</v>
      </c>
      <c r="F7" s="396" t="s">
        <v>363</v>
      </c>
      <c r="I7"/>
      <c r="J7"/>
      <c r="K7"/>
    </row>
    <row r="8" spans="2:11" ht="15">
      <c r="B8" s="398"/>
      <c r="C8" s="332" t="s">
        <v>286</v>
      </c>
      <c r="D8" s="257">
        <f>+D39+D46+D50</f>
        <v>0</v>
      </c>
      <c r="E8" s="381">
        <f>IF(nrUseBaseline,+K39+K46+K50,0)</f>
        <v>0</v>
      </c>
      <c r="F8" s="267"/>
      <c r="I8"/>
      <c r="J8"/>
      <c r="K8"/>
    </row>
    <row r="9" spans="2:11" ht="15">
      <c r="B9" s="398"/>
      <c r="C9" s="333" t="s">
        <v>287</v>
      </c>
      <c r="D9" s="255">
        <f>+D31+E31+E39+E46+E50</f>
        <v>0</v>
      </c>
      <c r="E9" s="268">
        <f>IF(nrUseBaseline,+K31+L31+L39+L46+L50,0)</f>
        <v>0</v>
      </c>
      <c r="F9" s="267"/>
      <c r="I9"/>
      <c r="J9"/>
      <c r="K9"/>
    </row>
    <row r="10" spans="2:11" ht="15">
      <c r="B10" s="398"/>
      <c r="C10" s="333" t="s">
        <v>424</v>
      </c>
      <c r="D10" s="255">
        <f>+F31+F39+F46+F50+F54</f>
        <v>0</v>
      </c>
      <c r="E10" s="268">
        <f>IF(nrUseBaseline,+M31+M39+M46+M50+M54,0)</f>
        <v>0</v>
      </c>
      <c r="F10" s="267"/>
      <c r="I10"/>
      <c r="J10"/>
      <c r="K10"/>
    </row>
    <row r="11" spans="2:11" ht="15.75" thickBot="1">
      <c r="B11" s="401"/>
      <c r="C11" s="334" t="s">
        <v>289</v>
      </c>
      <c r="D11" s="245">
        <f>+D8+D9*21+D10*310</f>
        <v>0</v>
      </c>
      <c r="E11" s="324">
        <f>IF(nrUseBaseline,+E8+E9*21+E10*310,0)</f>
        <v>0</v>
      </c>
      <c r="F11" s="267"/>
      <c r="I11"/>
      <c r="J11"/>
      <c r="K11"/>
    </row>
    <row r="12" spans="2:11" ht="16.5" thickBot="1">
      <c r="B12" s="400"/>
      <c r="C12" s="334" t="s">
        <v>289</v>
      </c>
      <c r="D12" s="272"/>
      <c r="E12" s="272"/>
      <c r="F12" s="325">
        <f>IF(nrUseBaseline,D11-E11,D11)</f>
        <v>0</v>
      </c>
      <c r="I12"/>
      <c r="J12"/>
      <c r="K12"/>
    </row>
    <row r="13" ht="15">
      <c r="B13" s="68"/>
    </row>
    <row r="16" spans="2:15" ht="61.5" customHeight="1">
      <c r="B16" s="59" t="s">
        <v>419</v>
      </c>
      <c r="C16" s="62" t="s">
        <v>580</v>
      </c>
      <c r="D16" s="62" t="s">
        <v>378</v>
      </c>
      <c r="E16" s="62" t="s">
        <v>379</v>
      </c>
      <c r="F16" s="62" t="s">
        <v>380</v>
      </c>
      <c r="G16" s="31"/>
      <c r="I16" s="59" t="s">
        <v>426</v>
      </c>
      <c r="J16" s="62" t="s">
        <v>580</v>
      </c>
      <c r="K16" s="62" t="s">
        <v>378</v>
      </c>
      <c r="L16" s="62" t="s">
        <v>379</v>
      </c>
      <c r="M16" s="62" t="s">
        <v>380</v>
      </c>
      <c r="N16" s="29"/>
      <c r="O16" s="38"/>
    </row>
    <row r="17" spans="2:15" ht="15">
      <c r="B17" s="59" t="s">
        <v>385</v>
      </c>
      <c r="C17" s="475"/>
      <c r="D17" s="60">
        <f aca="true" t="shared" si="0" ref="D17:D30">+C17*C59</f>
        <v>0</v>
      </c>
      <c r="E17" s="85">
        <f>+C17*D59</f>
        <v>0</v>
      </c>
      <c r="F17" s="85">
        <f>+C17*E59</f>
        <v>0</v>
      </c>
      <c r="G17" s="31"/>
      <c r="I17" s="59" t="s">
        <v>385</v>
      </c>
      <c r="J17" s="476"/>
      <c r="K17" s="60">
        <f aca="true" t="shared" si="1" ref="K17:K30">+J17*C59</f>
        <v>0</v>
      </c>
      <c r="L17" s="320">
        <f>+J17*D59</f>
        <v>0</v>
      </c>
      <c r="M17" s="320">
        <f>+J17*E59</f>
        <v>0</v>
      </c>
      <c r="N17" s="29"/>
      <c r="O17" s="40"/>
    </row>
    <row r="18" spans="2:13" ht="15">
      <c r="B18" s="59" t="s">
        <v>386</v>
      </c>
      <c r="C18" s="475"/>
      <c r="D18" s="60">
        <f t="shared" si="0"/>
        <v>0</v>
      </c>
      <c r="E18" s="85">
        <f aca="true" t="shared" si="2" ref="E18:E30">+C18*D60</f>
        <v>0</v>
      </c>
      <c r="F18" s="85">
        <f aca="true" t="shared" si="3" ref="F18:F30">+C18*E60</f>
        <v>0</v>
      </c>
      <c r="G18" s="31"/>
      <c r="I18" s="59" t="s">
        <v>386</v>
      </c>
      <c r="J18" s="476"/>
      <c r="K18" s="60">
        <f t="shared" si="1"/>
        <v>0</v>
      </c>
      <c r="L18" s="320">
        <f aca="true" t="shared" si="4" ref="L18:L30">+J18*D60</f>
        <v>0</v>
      </c>
      <c r="M18" s="320">
        <f aca="true" t="shared" si="5" ref="M18:M30">+J18*E60</f>
        <v>0</v>
      </c>
    </row>
    <row r="19" spans="2:13" ht="15">
      <c r="B19" s="59" t="s">
        <v>387</v>
      </c>
      <c r="C19" s="475"/>
      <c r="D19" s="60">
        <f t="shared" si="0"/>
        <v>0</v>
      </c>
      <c r="E19" s="85">
        <f t="shared" si="2"/>
        <v>0</v>
      </c>
      <c r="F19" s="85">
        <f t="shared" si="3"/>
        <v>0</v>
      </c>
      <c r="G19" s="31"/>
      <c r="I19" s="59" t="s">
        <v>387</v>
      </c>
      <c r="J19" s="476"/>
      <c r="K19" s="60">
        <f t="shared" si="1"/>
        <v>0</v>
      </c>
      <c r="L19" s="320">
        <f t="shared" si="4"/>
        <v>0</v>
      </c>
      <c r="M19" s="320">
        <f t="shared" si="5"/>
        <v>0</v>
      </c>
    </row>
    <row r="20" spans="2:13" ht="15">
      <c r="B20" s="59" t="s">
        <v>388</v>
      </c>
      <c r="C20" s="475"/>
      <c r="D20" s="60">
        <f t="shared" si="0"/>
        <v>0</v>
      </c>
      <c r="E20" s="85">
        <f t="shared" si="2"/>
        <v>0</v>
      </c>
      <c r="F20" s="85">
        <f t="shared" si="3"/>
        <v>0</v>
      </c>
      <c r="G20" s="31"/>
      <c r="I20" s="59" t="s">
        <v>388</v>
      </c>
      <c r="J20" s="476"/>
      <c r="K20" s="60">
        <f t="shared" si="1"/>
        <v>0</v>
      </c>
      <c r="L20" s="320">
        <f t="shared" si="4"/>
        <v>0</v>
      </c>
      <c r="M20" s="320">
        <f t="shared" si="5"/>
        <v>0</v>
      </c>
    </row>
    <row r="21" spans="2:13" ht="15">
      <c r="B21" s="59" t="s">
        <v>389</v>
      </c>
      <c r="C21" s="475"/>
      <c r="D21" s="60">
        <f t="shared" si="0"/>
        <v>0</v>
      </c>
      <c r="E21" s="85">
        <f t="shared" si="2"/>
        <v>0</v>
      </c>
      <c r="F21" s="85">
        <f t="shared" si="3"/>
        <v>0</v>
      </c>
      <c r="G21" s="31"/>
      <c r="I21" s="59" t="s">
        <v>389</v>
      </c>
      <c r="J21" s="476"/>
      <c r="K21" s="60">
        <f t="shared" si="1"/>
        <v>0</v>
      </c>
      <c r="L21" s="320">
        <f t="shared" si="4"/>
        <v>0</v>
      </c>
      <c r="M21" s="320">
        <f t="shared" si="5"/>
        <v>0</v>
      </c>
    </row>
    <row r="22" spans="2:13" ht="15">
      <c r="B22" s="59" t="s">
        <v>390</v>
      </c>
      <c r="C22" s="475"/>
      <c r="D22" s="60">
        <f t="shared" si="0"/>
        <v>0</v>
      </c>
      <c r="E22" s="85">
        <f t="shared" si="2"/>
        <v>0</v>
      </c>
      <c r="F22" s="85">
        <f t="shared" si="3"/>
        <v>0</v>
      </c>
      <c r="G22" s="31"/>
      <c r="I22" s="59" t="s">
        <v>390</v>
      </c>
      <c r="J22" s="476"/>
      <c r="K22" s="60">
        <f t="shared" si="1"/>
        <v>0</v>
      </c>
      <c r="L22" s="320">
        <f t="shared" si="4"/>
        <v>0</v>
      </c>
      <c r="M22" s="320">
        <f t="shared" si="5"/>
        <v>0</v>
      </c>
    </row>
    <row r="23" spans="2:13" ht="15">
      <c r="B23" s="59" t="s">
        <v>391</v>
      </c>
      <c r="C23" s="475"/>
      <c r="D23" s="60">
        <f t="shared" si="0"/>
        <v>0</v>
      </c>
      <c r="E23" s="85">
        <f t="shared" si="2"/>
        <v>0</v>
      </c>
      <c r="F23" s="85">
        <f t="shared" si="3"/>
        <v>0</v>
      </c>
      <c r="G23" s="31"/>
      <c r="I23" s="59" t="s">
        <v>391</v>
      </c>
      <c r="J23" s="476"/>
      <c r="K23" s="60">
        <f t="shared" si="1"/>
        <v>0</v>
      </c>
      <c r="L23" s="320">
        <f t="shared" si="4"/>
        <v>0</v>
      </c>
      <c r="M23" s="320">
        <f t="shared" si="5"/>
        <v>0</v>
      </c>
    </row>
    <row r="24" spans="2:13" ht="15">
      <c r="B24" s="59" t="s">
        <v>392</v>
      </c>
      <c r="C24" s="475"/>
      <c r="D24" s="60">
        <f t="shared" si="0"/>
        <v>0</v>
      </c>
      <c r="E24" s="85">
        <f t="shared" si="2"/>
        <v>0</v>
      </c>
      <c r="F24" s="85">
        <f t="shared" si="3"/>
        <v>0</v>
      </c>
      <c r="G24" s="31"/>
      <c r="I24" s="59" t="s">
        <v>392</v>
      </c>
      <c r="J24" s="476"/>
      <c r="K24" s="60">
        <f t="shared" si="1"/>
        <v>0</v>
      </c>
      <c r="L24" s="320">
        <f t="shared" si="4"/>
        <v>0</v>
      </c>
      <c r="M24" s="320">
        <f t="shared" si="5"/>
        <v>0</v>
      </c>
    </row>
    <row r="25" spans="2:13" ht="15">
      <c r="B25" s="59" t="s">
        <v>393</v>
      </c>
      <c r="C25" s="475"/>
      <c r="D25" s="60">
        <f t="shared" si="0"/>
        <v>0</v>
      </c>
      <c r="E25" s="85">
        <f t="shared" si="2"/>
        <v>0</v>
      </c>
      <c r="F25" s="85">
        <f t="shared" si="3"/>
        <v>0</v>
      </c>
      <c r="G25" s="31"/>
      <c r="I25" s="59" t="s">
        <v>393</v>
      </c>
      <c r="J25" s="476"/>
      <c r="K25" s="60">
        <f t="shared" si="1"/>
        <v>0</v>
      </c>
      <c r="L25" s="320">
        <f t="shared" si="4"/>
        <v>0</v>
      </c>
      <c r="M25" s="320">
        <f t="shared" si="5"/>
        <v>0</v>
      </c>
    </row>
    <row r="26" spans="2:13" ht="15">
      <c r="B26" s="59" t="s">
        <v>394</v>
      </c>
      <c r="C26" s="475"/>
      <c r="D26" s="60">
        <f t="shared" si="0"/>
        <v>0</v>
      </c>
      <c r="E26" s="85">
        <f t="shared" si="2"/>
        <v>0</v>
      </c>
      <c r="F26" s="85">
        <f t="shared" si="3"/>
        <v>0</v>
      </c>
      <c r="G26" s="31"/>
      <c r="I26" s="59" t="s">
        <v>394</v>
      </c>
      <c r="J26" s="476"/>
      <c r="K26" s="60">
        <f t="shared" si="1"/>
        <v>0</v>
      </c>
      <c r="L26" s="320">
        <f t="shared" si="4"/>
        <v>0</v>
      </c>
      <c r="M26" s="320">
        <f t="shared" si="5"/>
        <v>0</v>
      </c>
    </row>
    <row r="27" spans="2:13" ht="15">
      <c r="B27" s="59" t="s">
        <v>395</v>
      </c>
      <c r="C27" s="475"/>
      <c r="D27" s="60">
        <f t="shared" si="0"/>
        <v>0</v>
      </c>
      <c r="E27" s="85">
        <f t="shared" si="2"/>
        <v>0</v>
      </c>
      <c r="F27" s="85">
        <f t="shared" si="3"/>
        <v>0</v>
      </c>
      <c r="G27" s="31"/>
      <c r="I27" s="59" t="s">
        <v>395</v>
      </c>
      <c r="J27" s="476"/>
      <c r="K27" s="60">
        <f t="shared" si="1"/>
        <v>0</v>
      </c>
      <c r="L27" s="320">
        <f t="shared" si="4"/>
        <v>0</v>
      </c>
      <c r="M27" s="320">
        <f t="shared" si="5"/>
        <v>0</v>
      </c>
    </row>
    <row r="28" spans="2:13" ht="15">
      <c r="B28" s="59" t="s">
        <v>396</v>
      </c>
      <c r="C28" s="475"/>
      <c r="D28" s="60">
        <f t="shared" si="0"/>
        <v>0</v>
      </c>
      <c r="E28" s="85">
        <f t="shared" si="2"/>
        <v>0</v>
      </c>
      <c r="F28" s="85">
        <f t="shared" si="3"/>
        <v>0</v>
      </c>
      <c r="G28" s="31"/>
      <c r="I28" s="59" t="s">
        <v>396</v>
      </c>
      <c r="J28" s="476"/>
      <c r="K28" s="60">
        <f t="shared" si="1"/>
        <v>0</v>
      </c>
      <c r="L28" s="320">
        <f t="shared" si="4"/>
        <v>0</v>
      </c>
      <c r="M28" s="320">
        <f t="shared" si="5"/>
        <v>0</v>
      </c>
    </row>
    <row r="29" spans="2:13" ht="15">
      <c r="B29" s="59" t="s">
        <v>397</v>
      </c>
      <c r="C29" s="475"/>
      <c r="D29" s="60">
        <f t="shared" si="0"/>
        <v>0</v>
      </c>
      <c r="E29" s="85">
        <f t="shared" si="2"/>
        <v>0</v>
      </c>
      <c r="F29" s="85">
        <f t="shared" si="3"/>
        <v>0</v>
      </c>
      <c r="G29" s="31"/>
      <c r="I29" s="59" t="s">
        <v>397</v>
      </c>
      <c r="J29" s="476"/>
      <c r="K29" s="60">
        <f t="shared" si="1"/>
        <v>0</v>
      </c>
      <c r="L29" s="320">
        <f t="shared" si="4"/>
        <v>0</v>
      </c>
      <c r="M29" s="320">
        <f t="shared" si="5"/>
        <v>0</v>
      </c>
    </row>
    <row r="30" spans="2:13" ht="15">
      <c r="B30" s="59" t="s">
        <v>398</v>
      </c>
      <c r="C30" s="475"/>
      <c r="D30" s="60">
        <f t="shared" si="0"/>
        <v>0</v>
      </c>
      <c r="E30" s="85">
        <f t="shared" si="2"/>
        <v>0</v>
      </c>
      <c r="F30" s="85">
        <f t="shared" si="3"/>
        <v>0</v>
      </c>
      <c r="G30" s="31"/>
      <c r="I30" s="59" t="s">
        <v>398</v>
      </c>
      <c r="J30" s="476"/>
      <c r="K30" s="60">
        <f t="shared" si="1"/>
        <v>0</v>
      </c>
      <c r="L30" s="320">
        <f t="shared" si="4"/>
        <v>0</v>
      </c>
      <c r="M30" s="320">
        <f t="shared" si="5"/>
        <v>0</v>
      </c>
    </row>
    <row r="31" spans="2:13" ht="15">
      <c r="B31" s="59" t="s">
        <v>399</v>
      </c>
      <c r="C31" s="319">
        <f>SUM(C16:C30)</f>
        <v>0</v>
      </c>
      <c r="D31" s="60">
        <f>SUM(D17:D30)</f>
        <v>0</v>
      </c>
      <c r="E31" s="60">
        <f>SUM(E17:E30)</f>
        <v>0</v>
      </c>
      <c r="F31" s="60">
        <f>SUM(F17:F30)</f>
        <v>0</v>
      </c>
      <c r="G31" s="31"/>
      <c r="I31" s="59" t="s">
        <v>399</v>
      </c>
      <c r="J31" s="216">
        <f>SUM(J17:J30)</f>
        <v>0</v>
      </c>
      <c r="K31" s="60">
        <f>SUM(K17:K30)</f>
        <v>0</v>
      </c>
      <c r="L31" s="60">
        <f>SUM(L17:L30)</f>
        <v>0</v>
      </c>
      <c r="M31" s="60">
        <f>SUM(M17:M30)</f>
        <v>0</v>
      </c>
    </row>
    <row r="32" spans="3:7" ht="15">
      <c r="C32" s="31"/>
      <c r="D32" s="31"/>
      <c r="E32" s="31"/>
      <c r="F32" s="31"/>
      <c r="G32" s="31"/>
    </row>
    <row r="33" spans="2:7" ht="15">
      <c r="B33" s="40"/>
      <c r="C33" s="29"/>
      <c r="D33" s="29"/>
      <c r="E33" s="29"/>
      <c r="F33" s="29"/>
      <c r="G33" s="29"/>
    </row>
    <row r="34" spans="2:7" ht="15">
      <c r="B34" s="40"/>
      <c r="C34" s="29"/>
      <c r="D34" s="29"/>
      <c r="E34" s="29"/>
      <c r="F34" s="29"/>
      <c r="G34" s="29"/>
    </row>
    <row r="35" spans="2:14" ht="30">
      <c r="B35" s="96" t="s">
        <v>420</v>
      </c>
      <c r="C35" s="60" t="s">
        <v>581</v>
      </c>
      <c r="D35" s="60" t="s">
        <v>296</v>
      </c>
      <c r="E35" s="60" t="s">
        <v>297</v>
      </c>
      <c r="F35" s="60" t="s">
        <v>298</v>
      </c>
      <c r="G35" s="62" t="s">
        <v>403</v>
      </c>
      <c r="I35" s="96" t="s">
        <v>425</v>
      </c>
      <c r="J35" s="60" t="s">
        <v>581</v>
      </c>
      <c r="K35" s="60" t="s">
        <v>296</v>
      </c>
      <c r="L35" s="60" t="s">
        <v>297</v>
      </c>
      <c r="M35" s="60" t="s">
        <v>298</v>
      </c>
      <c r="N35" s="62" t="s">
        <v>403</v>
      </c>
    </row>
    <row r="36" spans="2:14" ht="15">
      <c r="B36" s="59" t="s">
        <v>406</v>
      </c>
      <c r="C36" s="477"/>
      <c r="D36" s="60">
        <f>IF(nrProjectYear&lt;2010,+B111*$C36*2.2/2204,+B111*$C36*2.2/2204*(1-(VLOOKUP(nrProjectYear,$B$76:$D$106,3)/100)))</f>
        <v>0</v>
      </c>
      <c r="E36" s="60">
        <f>IF(nrProjectYear&lt;2010,+C111*$C36/454/2204,+C111*$C36/454/2204*(1-(VLOOKUP(nrProjectYear,$B$76:$D$106,3)/100)))</f>
        <v>0</v>
      </c>
      <c r="F36" s="60">
        <f>IF(nrProjectYear&lt;2010,+D111*$C36/454/2204,+D111*$C36/454/2204*(1-(VLOOKUP(nrProjectYear,$B$76:$D$106,3)/100)))</f>
        <v>0</v>
      </c>
      <c r="G36" s="60">
        <f>+D36+E36*21+F36*310</f>
        <v>0</v>
      </c>
      <c r="I36" s="59" t="s">
        <v>406</v>
      </c>
      <c r="J36" s="477"/>
      <c r="K36" s="60">
        <f>IF(nrBaselineYear&lt;2010,+B111*$J36*2.2/2204,+B111*$J36*2.2/2204*(1-(VLOOKUP(nrBaselineYear,$B$76:$D$106,3)/100)))</f>
        <v>0</v>
      </c>
      <c r="L36" s="60">
        <f>IF(nrBaselineYear&lt;2010,+C111*$J36/454/2204,+C111*$J36/454/2204*(1-(VLOOKUP(nrBaselineYear,$B$76:$D$106,3)/100)))</f>
        <v>0</v>
      </c>
      <c r="M36" s="60">
        <f>IF(nrBaselineYear&lt;2010,+D111*$J36/454/2204,+D111*$J36/454/2204*(1-(VLOOKUP(nrBaselineYear,$B$76:$D$106,3)/100)))</f>
        <v>0</v>
      </c>
      <c r="N36" s="60">
        <f>+K36+L36*21+M36*310</f>
        <v>0</v>
      </c>
    </row>
    <row r="37" spans="2:14" ht="15">
      <c r="B37" s="59" t="s">
        <v>407</v>
      </c>
      <c r="C37" s="477"/>
      <c r="D37" s="60">
        <f>IF(nrProjectYear&lt;2010,+B112*$C37*2.2/2204,+B112*$C37*2.2/2204*(1-(VLOOKUP(nrProjectYear,$B$76:$D$106,3)/100)))</f>
        <v>0</v>
      </c>
      <c r="E37" s="60">
        <f>IF(nrProjectYear&lt;2010,+C112*$C37/454/2204,+C112*$C37/454/2204*(1-(VLOOKUP(nrProjectYear,$B$76:$D$106,3)/100)))</f>
        <v>0</v>
      </c>
      <c r="F37" s="60">
        <f>IF(nrProjectYear&lt;2010,+D112*$C37/454/2204,+D112*$C37/454/2204*(1-(VLOOKUP(nrProjectYear,$B$76:$D$106,3)/100)))</f>
        <v>0</v>
      </c>
      <c r="G37" s="60">
        <f>+D37+E37*21+F37*310</f>
        <v>0</v>
      </c>
      <c r="I37" s="59" t="s">
        <v>407</v>
      </c>
      <c r="J37" s="477"/>
      <c r="K37" s="60">
        <f>IF(nrBaselineYear&lt;2010,+B112*$J37*2.2/2204,+B112*$J37*2.2/2204*(1-(VLOOKUP(nrBaselineYear,$B$76:$D$106,3)/100)))</f>
        <v>0</v>
      </c>
      <c r="L37" s="60">
        <f>IF(nrBaselineYear&lt;2010,+C112*$J37/454/2204,+C112*$J37/454/2204*(1-(VLOOKUP(nrBaselineYear,$B$76:$D$106,3)/100)))</f>
        <v>0</v>
      </c>
      <c r="M37" s="60">
        <f>IF(nrBaselineYear&lt;2010,+D112*$J37/454/2204,+D112*$J37/454/2204*(1-(VLOOKUP(nrBaselineYear,$B$76:$D$106,3)/100)))</f>
        <v>0</v>
      </c>
      <c r="N37" s="60">
        <f>+K37+L37*21+M37*310</f>
        <v>0</v>
      </c>
    </row>
    <row r="38" spans="2:14" ht="15">
      <c r="B38" s="59" t="s">
        <v>408</v>
      </c>
      <c r="C38" s="477"/>
      <c r="D38" s="60">
        <f>+B113*$C38*2.2/2204</f>
        <v>0</v>
      </c>
      <c r="E38" s="85">
        <f>+C113*C38/(454*2204)</f>
        <v>0</v>
      </c>
      <c r="F38" s="85">
        <f>+D113*C38/(454*2204)</f>
        <v>0</v>
      </c>
      <c r="G38" s="60">
        <f>+D38+E38*21+F38*310</f>
        <v>0</v>
      </c>
      <c r="I38" s="59" t="s">
        <v>408</v>
      </c>
      <c r="J38" s="477"/>
      <c r="K38" s="60">
        <f>+B113*$J38*2.2/2204</f>
        <v>0</v>
      </c>
      <c r="L38" s="85">
        <f>+C113*J38/(454*2204)</f>
        <v>0</v>
      </c>
      <c r="M38" s="85">
        <f>+D113/(454*2204)*J38</f>
        <v>0</v>
      </c>
      <c r="N38" s="60">
        <f>+K38+L38*21+M38*310</f>
        <v>0</v>
      </c>
    </row>
    <row r="39" spans="2:14" ht="15">
      <c r="B39" s="59"/>
      <c r="C39" s="60"/>
      <c r="D39" s="60">
        <f>SUM(D36:D38)</f>
        <v>0</v>
      </c>
      <c r="E39" s="60">
        <f>SUM(E36:E38)</f>
        <v>0</v>
      </c>
      <c r="F39" s="60">
        <f>SUM(F36:F38)</f>
        <v>0</v>
      </c>
      <c r="G39" s="60">
        <f>SUM(G36:G38)</f>
        <v>0</v>
      </c>
      <c r="I39" s="59"/>
      <c r="J39" s="60"/>
      <c r="K39" s="60">
        <f>SUM(K36:K38)</f>
        <v>0</v>
      </c>
      <c r="L39" s="60">
        <f>SUM(L36:L38)</f>
        <v>0</v>
      </c>
      <c r="M39" s="60">
        <f>SUM(M36:M38)</f>
        <v>0</v>
      </c>
      <c r="N39" s="60">
        <f>SUM(N36:N38)</f>
        <v>0</v>
      </c>
    </row>
    <row r="40" spans="2:7" ht="15">
      <c r="B40" s="40"/>
      <c r="C40" s="40"/>
      <c r="D40" s="29"/>
      <c r="E40" s="29"/>
      <c r="F40" s="29"/>
      <c r="G40" s="29"/>
    </row>
    <row r="41" spans="4:7" ht="15">
      <c r="D41" s="31"/>
      <c r="E41" s="31"/>
      <c r="F41" s="31"/>
      <c r="G41" s="31"/>
    </row>
    <row r="42" spans="2:14" ht="30">
      <c r="B42" s="96" t="s">
        <v>421</v>
      </c>
      <c r="C42" s="60" t="s">
        <v>581</v>
      </c>
      <c r="D42" s="60" t="s">
        <v>296</v>
      </c>
      <c r="E42" s="60" t="s">
        <v>297</v>
      </c>
      <c r="F42" s="60" t="s">
        <v>298</v>
      </c>
      <c r="G42" s="62" t="s">
        <v>403</v>
      </c>
      <c r="I42" s="96" t="s">
        <v>427</v>
      </c>
      <c r="J42" s="60" t="s">
        <v>581</v>
      </c>
      <c r="K42" s="278" t="s">
        <v>296</v>
      </c>
      <c r="L42" s="278" t="s">
        <v>297</v>
      </c>
      <c r="M42" s="278" t="s">
        <v>298</v>
      </c>
      <c r="N42" s="96" t="s">
        <v>403</v>
      </c>
    </row>
    <row r="43" spans="2:14" ht="15">
      <c r="B43" s="59" t="s">
        <v>406</v>
      </c>
      <c r="C43" s="477"/>
      <c r="D43" s="60">
        <f aca="true" t="shared" si="6" ref="D43:F45">+B117*2.2/2204*$C43</f>
        <v>0</v>
      </c>
      <c r="E43" s="85">
        <f t="shared" si="6"/>
        <v>0</v>
      </c>
      <c r="F43" s="85">
        <f t="shared" si="6"/>
        <v>0</v>
      </c>
      <c r="G43" s="60">
        <f>+D43+E43*21+F43*310</f>
        <v>0</v>
      </c>
      <c r="I43" s="59" t="s">
        <v>406</v>
      </c>
      <c r="J43" s="477"/>
      <c r="K43" s="278">
        <f>+B117*2.2/2204*$J43</f>
        <v>0</v>
      </c>
      <c r="L43" s="278">
        <f>+C117*2.2/2204*$J43</f>
        <v>0</v>
      </c>
      <c r="M43" s="278">
        <f>+D117*2.2/2204*$J43</f>
        <v>0</v>
      </c>
      <c r="N43" s="278">
        <f>+K43+L43*21+M43*310</f>
        <v>0</v>
      </c>
    </row>
    <row r="44" spans="2:14" ht="15">
      <c r="B44" s="59" t="s">
        <v>407</v>
      </c>
      <c r="C44" s="477"/>
      <c r="D44" s="60">
        <f t="shared" si="6"/>
        <v>0</v>
      </c>
      <c r="E44" s="85">
        <f t="shared" si="6"/>
        <v>0</v>
      </c>
      <c r="F44" s="85">
        <f t="shared" si="6"/>
        <v>0</v>
      </c>
      <c r="G44" s="60">
        <f>+D44+E44*21+F44*310</f>
        <v>0</v>
      </c>
      <c r="I44" s="59" t="s">
        <v>407</v>
      </c>
      <c r="J44" s="477"/>
      <c r="K44" s="278">
        <f aca="true" t="shared" si="7" ref="K44:M45">+B118*2.2/2204*$J44</f>
        <v>0</v>
      </c>
      <c r="L44" s="278">
        <f t="shared" si="7"/>
        <v>0</v>
      </c>
      <c r="M44" s="278">
        <f t="shared" si="7"/>
        <v>0</v>
      </c>
      <c r="N44" s="278">
        <f>+K44+L44*21+M44*310</f>
        <v>0</v>
      </c>
    </row>
    <row r="45" spans="2:14" ht="15">
      <c r="B45" s="59" t="s">
        <v>408</v>
      </c>
      <c r="C45" s="477"/>
      <c r="D45" s="60">
        <f t="shared" si="6"/>
        <v>0</v>
      </c>
      <c r="E45" s="85">
        <f t="shared" si="6"/>
        <v>0</v>
      </c>
      <c r="F45" s="85">
        <f t="shared" si="6"/>
        <v>0</v>
      </c>
      <c r="G45" s="60">
        <f>+D45+E45*21+F45*310</f>
        <v>0</v>
      </c>
      <c r="I45" s="59" t="s">
        <v>408</v>
      </c>
      <c r="J45" s="477"/>
      <c r="K45" s="278">
        <f t="shared" si="7"/>
        <v>0</v>
      </c>
      <c r="L45" s="278">
        <f t="shared" si="7"/>
        <v>0</v>
      </c>
      <c r="M45" s="278">
        <f t="shared" si="7"/>
        <v>0</v>
      </c>
      <c r="N45" s="278">
        <f>+K45+L45*21+M45*310</f>
        <v>0</v>
      </c>
    </row>
    <row r="46" spans="2:14" ht="15">
      <c r="B46" s="59"/>
      <c r="C46" s="60"/>
      <c r="D46" s="60">
        <f>SUM(D43:D45)</f>
        <v>0</v>
      </c>
      <c r="E46" s="85">
        <f>SUM(E43:E45)</f>
        <v>0</v>
      </c>
      <c r="F46" s="85">
        <f>SUM(F43:F45)</f>
        <v>0</v>
      </c>
      <c r="G46" s="60">
        <f>SUM(G43:G45)</f>
        <v>0</v>
      </c>
      <c r="I46" s="59"/>
      <c r="J46" s="60"/>
      <c r="K46" s="278">
        <f>SUM(K43:K45)</f>
        <v>0</v>
      </c>
      <c r="L46" s="279">
        <f>SUM(L43:L45)</f>
        <v>0</v>
      </c>
      <c r="M46" s="279">
        <f>SUM(M43:M45)</f>
        <v>0</v>
      </c>
      <c r="N46" s="278">
        <f>SUM(N43:N45)</f>
        <v>0</v>
      </c>
    </row>
    <row r="47" spans="2:14" ht="15">
      <c r="B47" s="40"/>
      <c r="C47" s="29"/>
      <c r="D47" s="29"/>
      <c r="E47" s="81"/>
      <c r="F47" s="81"/>
      <c r="G47" s="29"/>
      <c r="J47" s="31"/>
      <c r="K47" s="33"/>
      <c r="L47" s="33"/>
      <c r="M47" s="33"/>
      <c r="N47" s="33"/>
    </row>
    <row r="48" spans="3:14" ht="15">
      <c r="C48" s="31"/>
      <c r="D48" s="31"/>
      <c r="E48" s="31"/>
      <c r="F48" s="31"/>
      <c r="G48" s="31"/>
      <c r="J48" s="31"/>
      <c r="K48" s="33"/>
      <c r="L48" s="33"/>
      <c r="M48" s="33"/>
      <c r="N48" s="33"/>
    </row>
    <row r="49" spans="2:14" ht="30">
      <c r="B49" s="59" t="s">
        <v>422</v>
      </c>
      <c r="C49" s="60" t="s">
        <v>185</v>
      </c>
      <c r="D49" s="60" t="s">
        <v>296</v>
      </c>
      <c r="E49" s="60" t="s">
        <v>297</v>
      </c>
      <c r="F49" s="60" t="s">
        <v>298</v>
      </c>
      <c r="G49" s="62" t="s">
        <v>403</v>
      </c>
      <c r="I49" s="59" t="s">
        <v>428</v>
      </c>
      <c r="J49" s="60" t="s">
        <v>185</v>
      </c>
      <c r="K49" s="278" t="s">
        <v>296</v>
      </c>
      <c r="L49" s="278" t="s">
        <v>297</v>
      </c>
      <c r="M49" s="278" t="s">
        <v>298</v>
      </c>
      <c r="N49" s="96" t="s">
        <v>403</v>
      </c>
    </row>
    <row r="50" spans="2:14" ht="30">
      <c r="B50" s="96" t="s">
        <v>414</v>
      </c>
      <c r="C50" s="477"/>
      <c r="D50" s="85">
        <f>+$C50/1000*B122/2204</f>
        <v>0</v>
      </c>
      <c r="E50" s="85">
        <f>+$C50/1000*C122/2204</f>
        <v>0</v>
      </c>
      <c r="F50" s="85">
        <f>+$C50/1000*D122/2204</f>
        <v>0</v>
      </c>
      <c r="G50" s="60">
        <f>+D50+E50*21+F50*310</f>
        <v>0</v>
      </c>
      <c r="I50" s="96" t="s">
        <v>414</v>
      </c>
      <c r="J50" s="477"/>
      <c r="K50" s="279">
        <f>+$J50/1000*B122/2204</f>
        <v>0</v>
      </c>
      <c r="L50" s="279">
        <f>+$J50/1000*C122/2204</f>
        <v>0</v>
      </c>
      <c r="M50" s="279">
        <f>+$J50/1000*D122/2204</f>
        <v>0</v>
      </c>
      <c r="N50" s="278">
        <f>+K50+L50*21+M50*310</f>
        <v>0</v>
      </c>
    </row>
    <row r="51" spans="2:14" ht="15">
      <c r="B51" s="32"/>
      <c r="C51" s="31"/>
      <c r="D51" s="93"/>
      <c r="E51" s="93"/>
      <c r="F51" s="93"/>
      <c r="G51" s="31"/>
      <c r="J51" s="93"/>
      <c r="K51" s="326"/>
      <c r="L51" s="326"/>
      <c r="M51" s="33"/>
      <c r="N51" s="33"/>
    </row>
    <row r="52" spans="2:14" ht="15">
      <c r="B52" s="32"/>
      <c r="C52" s="31"/>
      <c r="D52" s="93"/>
      <c r="E52" s="93"/>
      <c r="F52" s="93"/>
      <c r="G52" s="31"/>
      <c r="J52" s="93"/>
      <c r="K52" s="326"/>
      <c r="L52" s="326"/>
      <c r="M52" s="33"/>
      <c r="N52" s="33"/>
    </row>
    <row r="53" spans="2:14" ht="30">
      <c r="B53" s="59" t="s">
        <v>423</v>
      </c>
      <c r="C53" s="60" t="s">
        <v>415</v>
      </c>
      <c r="D53" s="60" t="s">
        <v>296</v>
      </c>
      <c r="E53" s="60" t="s">
        <v>297</v>
      </c>
      <c r="F53" s="60" t="s">
        <v>298</v>
      </c>
      <c r="G53" s="62" t="s">
        <v>403</v>
      </c>
      <c r="I53" s="59" t="s">
        <v>429</v>
      </c>
      <c r="J53" s="60" t="s">
        <v>415</v>
      </c>
      <c r="K53" s="278" t="s">
        <v>296</v>
      </c>
      <c r="L53" s="278" t="s">
        <v>297</v>
      </c>
      <c r="M53" s="278" t="s">
        <v>298</v>
      </c>
      <c r="N53" s="96" t="s">
        <v>403</v>
      </c>
    </row>
    <row r="54" spans="2:14" ht="15">
      <c r="B54" s="59" t="s">
        <v>416</v>
      </c>
      <c r="C54" s="477"/>
      <c r="D54" s="60">
        <v>0</v>
      </c>
      <c r="E54" s="60">
        <v>0</v>
      </c>
      <c r="F54" s="60">
        <f>+C54*B124</f>
        <v>0</v>
      </c>
      <c r="G54" s="60">
        <f>+D54+E54*21+F54*310</f>
        <v>0</v>
      </c>
      <c r="I54" s="59" t="s">
        <v>416</v>
      </c>
      <c r="J54" s="477"/>
      <c r="K54" s="278">
        <v>0</v>
      </c>
      <c r="L54" s="278">
        <v>0</v>
      </c>
      <c r="M54" s="278">
        <f>+J54*B124</f>
        <v>0</v>
      </c>
      <c r="N54" s="278">
        <f>+K54+L54*21+M54*310</f>
        <v>0</v>
      </c>
    </row>
    <row r="55" spans="7:8" ht="15">
      <c r="G55" s="29"/>
      <c r="H55" s="40"/>
    </row>
    <row r="56" spans="2:8" ht="15">
      <c r="B56" s="30" t="s">
        <v>418</v>
      </c>
      <c r="G56" s="29"/>
      <c r="H56" s="40"/>
    </row>
    <row r="57" spans="7:8" ht="15">
      <c r="G57" s="29"/>
      <c r="H57" s="40"/>
    </row>
    <row r="58" spans="2:8" ht="75">
      <c r="B58" s="576" t="s">
        <v>381</v>
      </c>
      <c r="C58" s="577" t="s">
        <v>382</v>
      </c>
      <c r="D58" s="577" t="s">
        <v>383</v>
      </c>
      <c r="E58" s="577" t="s">
        <v>384</v>
      </c>
      <c r="G58" s="29"/>
      <c r="H58" s="40"/>
    </row>
    <row r="59" spans="2:8" ht="15">
      <c r="B59" s="576" t="s">
        <v>385</v>
      </c>
      <c r="C59" s="578">
        <v>0.085556</v>
      </c>
      <c r="D59" s="578">
        <v>0.002158</v>
      </c>
      <c r="E59" s="578">
        <v>0</v>
      </c>
      <c r="G59" s="29"/>
      <c r="H59" s="40"/>
    </row>
    <row r="60" spans="2:8" ht="15">
      <c r="B60" s="576" t="s">
        <v>386</v>
      </c>
      <c r="C60" s="578">
        <v>0.066208</v>
      </c>
      <c r="D60" s="578">
        <v>0.001914</v>
      </c>
      <c r="E60" s="578">
        <v>0</v>
      </c>
      <c r="G60" s="29"/>
      <c r="H60" s="40"/>
    </row>
    <row r="61" spans="2:8" ht="15">
      <c r="B61" s="576" t="s">
        <v>387</v>
      </c>
      <c r="C61" s="578">
        <v>0.033349</v>
      </c>
      <c r="D61" s="578">
        <v>0.00147</v>
      </c>
      <c r="E61" s="578">
        <v>0</v>
      </c>
      <c r="G61" s="29"/>
      <c r="H61" s="40"/>
    </row>
    <row r="62" spans="2:8" ht="15">
      <c r="B62" s="576" t="s">
        <v>388</v>
      </c>
      <c r="C62" s="578">
        <v>0.053</v>
      </c>
      <c r="D62" s="578">
        <v>0.002793</v>
      </c>
      <c r="E62" s="578">
        <v>0</v>
      </c>
      <c r="G62" s="29"/>
      <c r="H62" s="40"/>
    </row>
    <row r="63" spans="2:8" ht="15">
      <c r="B63" s="576" t="s">
        <v>389</v>
      </c>
      <c r="C63" s="578">
        <v>0.11652</v>
      </c>
      <c r="D63" s="578">
        <v>0.164125</v>
      </c>
      <c r="E63" s="578">
        <v>0.000738</v>
      </c>
      <c r="G63" s="29"/>
      <c r="H63" s="40"/>
    </row>
    <row r="64" spans="2:8" ht="15">
      <c r="B64" s="576" t="s">
        <v>390</v>
      </c>
      <c r="C64" s="578">
        <v>0.11652</v>
      </c>
      <c r="D64" s="578">
        <v>0.165125</v>
      </c>
      <c r="E64" s="578">
        <v>0.000738</v>
      </c>
      <c r="G64" s="29"/>
      <c r="H64" s="40"/>
    </row>
    <row r="65" spans="2:8" ht="15">
      <c r="B65" s="576" t="s">
        <v>391</v>
      </c>
      <c r="C65" s="578">
        <v>0.067047</v>
      </c>
      <c r="D65" s="578">
        <v>0.00221</v>
      </c>
      <c r="E65" s="578">
        <v>0.00162</v>
      </c>
      <c r="G65" s="29"/>
      <c r="H65" s="40"/>
    </row>
    <row r="66" spans="2:8" ht="15">
      <c r="B66" s="576" t="s">
        <v>392</v>
      </c>
      <c r="C66" s="578">
        <v>0.042376</v>
      </c>
      <c r="D66" s="578">
        <v>0.00221</v>
      </c>
      <c r="E66" s="578">
        <v>0.00162</v>
      </c>
      <c r="G66" s="29"/>
      <c r="H66" s="40"/>
    </row>
    <row r="67" spans="2:8" ht="15">
      <c r="B67" s="576" t="s">
        <v>393</v>
      </c>
      <c r="C67" s="578">
        <v>0.042376</v>
      </c>
      <c r="D67" s="578">
        <v>0.00221</v>
      </c>
      <c r="E67" s="578">
        <v>0.00162</v>
      </c>
      <c r="G67" s="29"/>
      <c r="H67" s="40"/>
    </row>
    <row r="68" spans="2:8" ht="15">
      <c r="B68" s="576" t="s">
        <v>394</v>
      </c>
      <c r="C68" s="578">
        <v>0.042376</v>
      </c>
      <c r="D68" s="578">
        <v>0.00221</v>
      </c>
      <c r="E68" s="578">
        <v>0.00162</v>
      </c>
      <c r="G68" s="29"/>
      <c r="H68" s="40"/>
    </row>
    <row r="69" spans="2:8" ht="15">
      <c r="B69" s="576" t="s">
        <v>395</v>
      </c>
      <c r="C69" s="578">
        <v>0</v>
      </c>
      <c r="D69" s="578">
        <v>1.8E-05</v>
      </c>
      <c r="E69" s="578">
        <v>2E-06</v>
      </c>
      <c r="G69" s="29"/>
      <c r="H69" s="40"/>
    </row>
    <row r="70" spans="2:8" ht="15">
      <c r="B70" s="576" t="s">
        <v>396</v>
      </c>
      <c r="C70" s="578">
        <v>0.0015</v>
      </c>
      <c r="D70" s="578">
        <v>0.028228</v>
      </c>
      <c r="E70" s="578">
        <v>0.000141</v>
      </c>
      <c r="G70" s="29"/>
      <c r="H70" s="40"/>
    </row>
    <row r="71" spans="2:8" ht="15">
      <c r="B71" s="576" t="s">
        <v>397</v>
      </c>
      <c r="C71" s="578">
        <v>0.008</v>
      </c>
      <c r="D71" s="578">
        <v>0.000781</v>
      </c>
      <c r="E71" s="578">
        <v>2E-06</v>
      </c>
      <c r="G71" s="29"/>
      <c r="H71" s="40"/>
    </row>
    <row r="72" spans="2:8" ht="15">
      <c r="B72" s="576" t="s">
        <v>398</v>
      </c>
      <c r="C72" s="578">
        <v>0</v>
      </c>
      <c r="D72" s="578">
        <v>8.6E-05</v>
      </c>
      <c r="E72" s="578">
        <v>1E-05</v>
      </c>
      <c r="G72" s="29"/>
      <c r="H72" s="40"/>
    </row>
    <row r="73" spans="7:8" ht="15">
      <c r="G73" s="29"/>
      <c r="H73" s="40"/>
    </row>
    <row r="74" spans="2:10" ht="15">
      <c r="B74" s="190" t="s">
        <v>104</v>
      </c>
      <c r="C74" s="201"/>
      <c r="D74" s="567"/>
      <c r="E74" s="40"/>
      <c r="F74" s="40"/>
      <c r="G74" s="40"/>
      <c r="H74" s="40"/>
      <c r="I74" s="40"/>
      <c r="J74" s="40"/>
    </row>
    <row r="75" spans="2:10" ht="45">
      <c r="B75" s="190" t="s">
        <v>56</v>
      </c>
      <c r="C75" s="198" t="s">
        <v>105</v>
      </c>
      <c r="D75" s="565" t="s">
        <v>725</v>
      </c>
      <c r="E75" s="40"/>
      <c r="F75" s="40"/>
      <c r="G75" s="40"/>
      <c r="H75" s="40"/>
      <c r="I75" s="40"/>
      <c r="J75" s="40"/>
    </row>
    <row r="76" spans="2:13" ht="15">
      <c r="B76" s="200">
        <v>2010</v>
      </c>
      <c r="C76" s="196">
        <v>0</v>
      </c>
      <c r="D76" s="566">
        <f>0.72*C76</f>
        <v>0</v>
      </c>
      <c r="E76" s="40" t="s">
        <v>106</v>
      </c>
      <c r="F76" s="40"/>
      <c r="G76" s="40"/>
      <c r="H76" s="40"/>
      <c r="I76" s="40"/>
      <c r="J76" s="40"/>
      <c r="K76" s="91"/>
      <c r="L76" s="91"/>
      <c r="M76" s="91"/>
    </row>
    <row r="77" spans="2:13" ht="15">
      <c r="B77" s="200">
        <f aca="true" t="shared" si="8" ref="B77:B105">1+B76</f>
        <v>2011</v>
      </c>
      <c r="C77" s="196">
        <v>0.25</v>
      </c>
      <c r="D77" s="566">
        <f aca="true" t="shared" si="9" ref="D77:D106">0.72*C77</f>
        <v>0.18</v>
      </c>
      <c r="E77" s="40" t="s">
        <v>107</v>
      </c>
      <c r="F77" s="40"/>
      <c r="G77" s="40"/>
      <c r="H77" s="40"/>
      <c r="I77" s="40"/>
      <c r="J77" s="40"/>
      <c r="K77" s="91"/>
      <c r="L77" s="91"/>
      <c r="M77" s="91"/>
    </row>
    <row r="78" spans="2:13" ht="15">
      <c r="B78" s="200">
        <f t="shared" si="8"/>
        <v>2012</v>
      </c>
      <c r="C78" s="196">
        <v>0.5</v>
      </c>
      <c r="D78" s="566">
        <f t="shared" si="9"/>
        <v>0.36</v>
      </c>
      <c r="E78" s="40" t="s">
        <v>108</v>
      </c>
      <c r="F78" s="40"/>
      <c r="G78" s="40"/>
      <c r="H78" s="40"/>
      <c r="I78" s="40"/>
      <c r="J78" s="40"/>
      <c r="K78" s="91"/>
      <c r="L78" s="91"/>
      <c r="M78" s="91"/>
    </row>
    <row r="79" spans="2:13" ht="15">
      <c r="B79" s="200">
        <f t="shared" si="8"/>
        <v>2013</v>
      </c>
      <c r="C79" s="196">
        <v>1</v>
      </c>
      <c r="D79" s="566">
        <f t="shared" si="9"/>
        <v>0.72</v>
      </c>
      <c r="E79" s="40" t="s">
        <v>109</v>
      </c>
      <c r="F79" s="40"/>
      <c r="G79" s="40"/>
      <c r="H79" s="40"/>
      <c r="I79" s="40"/>
      <c r="J79" s="40"/>
      <c r="K79" s="91"/>
      <c r="L79" s="91"/>
      <c r="M79" s="91"/>
    </row>
    <row r="80" spans="2:13" ht="15">
      <c r="B80" s="200">
        <f t="shared" si="8"/>
        <v>2014</v>
      </c>
      <c r="C80" s="196">
        <v>1.5</v>
      </c>
      <c r="D80" s="566">
        <f t="shared" si="9"/>
        <v>1.08</v>
      </c>
      <c r="E80" s="40" t="s">
        <v>110</v>
      </c>
      <c r="F80" s="40"/>
      <c r="G80" s="40"/>
      <c r="H80" s="40"/>
      <c r="I80" s="40"/>
      <c r="J80" s="40"/>
      <c r="K80" s="91"/>
      <c r="L80" s="91"/>
      <c r="M80" s="91"/>
    </row>
    <row r="81" spans="2:13" ht="15">
      <c r="B81" s="200">
        <f t="shared" si="8"/>
        <v>2015</v>
      </c>
      <c r="C81" s="196">
        <v>2.5</v>
      </c>
      <c r="D81" s="566">
        <f t="shared" si="9"/>
        <v>1.7999999999999998</v>
      </c>
      <c r="E81" s="40" t="s">
        <v>111</v>
      </c>
      <c r="F81" s="40"/>
      <c r="G81" s="40"/>
      <c r="H81" s="40"/>
      <c r="I81" s="40"/>
      <c r="J81" s="40"/>
      <c r="K81" s="91"/>
      <c r="L81" s="91"/>
      <c r="M81" s="91"/>
    </row>
    <row r="82" spans="2:13" ht="15">
      <c r="B82" s="200">
        <f t="shared" si="8"/>
        <v>2016</v>
      </c>
      <c r="C82" s="196">
        <v>3.5</v>
      </c>
      <c r="D82" s="566">
        <f t="shared" si="9"/>
        <v>2.52</v>
      </c>
      <c r="E82" s="40"/>
      <c r="F82" s="40"/>
      <c r="G82" s="40"/>
      <c r="H82" s="40"/>
      <c r="I82" s="40"/>
      <c r="J82" s="40"/>
      <c r="K82" s="91"/>
      <c r="L82" s="91"/>
      <c r="M82" s="91"/>
    </row>
    <row r="83" spans="2:13" ht="15">
      <c r="B83" s="200">
        <f t="shared" si="8"/>
        <v>2017</v>
      </c>
      <c r="C83" s="196">
        <v>5</v>
      </c>
      <c r="D83" s="566">
        <f t="shared" si="9"/>
        <v>3.5999999999999996</v>
      </c>
      <c r="E83" s="40"/>
      <c r="F83" s="40"/>
      <c r="G83" s="40"/>
      <c r="H83" s="40"/>
      <c r="I83" s="40"/>
      <c r="J83" s="40"/>
      <c r="K83" s="91"/>
      <c r="L83" s="91"/>
      <c r="M83" s="91"/>
    </row>
    <row r="84" spans="2:13" ht="15">
      <c r="B84" s="200">
        <f t="shared" si="8"/>
        <v>2018</v>
      </c>
      <c r="C84" s="196">
        <v>6.5</v>
      </c>
      <c r="D84" s="566">
        <f t="shared" si="9"/>
        <v>4.68</v>
      </c>
      <c r="E84" s="40"/>
      <c r="F84" s="40"/>
      <c r="G84" s="40"/>
      <c r="H84" s="40"/>
      <c r="I84" s="40"/>
      <c r="J84" s="40"/>
      <c r="K84" s="91"/>
      <c r="L84" s="91"/>
      <c r="M84" s="91"/>
    </row>
    <row r="85" spans="2:13" ht="15">
      <c r="B85" s="200">
        <f t="shared" si="8"/>
        <v>2019</v>
      </c>
      <c r="C85" s="196">
        <v>8</v>
      </c>
      <c r="D85" s="566">
        <f t="shared" si="9"/>
        <v>5.76</v>
      </c>
      <c r="E85" s="40"/>
      <c r="F85" s="40"/>
      <c r="G85" s="40"/>
      <c r="H85" s="40"/>
      <c r="I85" s="40"/>
      <c r="J85" s="40"/>
      <c r="K85" s="91"/>
      <c r="L85" s="91"/>
      <c r="M85" s="91"/>
    </row>
    <row r="86" spans="2:13" ht="15">
      <c r="B86" s="200">
        <f t="shared" si="8"/>
        <v>2020</v>
      </c>
      <c r="C86" s="196">
        <v>10</v>
      </c>
      <c r="D86" s="566">
        <f t="shared" si="9"/>
        <v>7.199999999999999</v>
      </c>
      <c r="E86" s="40"/>
      <c r="F86" s="40"/>
      <c r="G86" s="40"/>
      <c r="H86" s="40"/>
      <c r="I86" s="40"/>
      <c r="J86" s="40"/>
      <c r="K86" s="91"/>
      <c r="L86" s="91"/>
      <c r="M86" s="91"/>
    </row>
    <row r="87" spans="2:13" ht="15">
      <c r="B87" s="200">
        <f t="shared" si="8"/>
        <v>2021</v>
      </c>
      <c r="C87" s="196">
        <v>10</v>
      </c>
      <c r="D87" s="566">
        <f t="shared" si="9"/>
        <v>7.199999999999999</v>
      </c>
      <c r="E87" s="40"/>
      <c r="F87" s="40"/>
      <c r="G87" s="40"/>
      <c r="H87" s="40"/>
      <c r="I87" s="40"/>
      <c r="J87" s="40"/>
      <c r="K87" s="91"/>
      <c r="L87" s="91"/>
      <c r="M87" s="91"/>
    </row>
    <row r="88" spans="2:13" ht="15">
      <c r="B88" s="200">
        <f t="shared" si="8"/>
        <v>2022</v>
      </c>
      <c r="C88" s="196">
        <v>10</v>
      </c>
      <c r="D88" s="566">
        <f t="shared" si="9"/>
        <v>7.199999999999999</v>
      </c>
      <c r="E88" s="40"/>
      <c r="F88" s="40"/>
      <c r="G88" s="40"/>
      <c r="H88" s="40"/>
      <c r="I88" s="40"/>
      <c r="J88" s="40"/>
      <c r="K88" s="91"/>
      <c r="L88" s="91"/>
      <c r="M88" s="91"/>
    </row>
    <row r="89" spans="2:13" ht="15">
      <c r="B89" s="200">
        <f t="shared" si="8"/>
        <v>2023</v>
      </c>
      <c r="C89" s="196">
        <v>10</v>
      </c>
      <c r="D89" s="566">
        <f t="shared" si="9"/>
        <v>7.199999999999999</v>
      </c>
      <c r="E89" s="40"/>
      <c r="F89" s="40"/>
      <c r="G89" s="40"/>
      <c r="H89" s="40"/>
      <c r="I89" s="40"/>
      <c r="J89" s="40"/>
      <c r="K89" s="94"/>
      <c r="L89" s="95"/>
      <c r="M89" s="18"/>
    </row>
    <row r="90" spans="2:13" ht="15">
      <c r="B90" s="200">
        <f t="shared" si="8"/>
        <v>2024</v>
      </c>
      <c r="C90" s="196">
        <v>10</v>
      </c>
      <c r="D90" s="566">
        <f t="shared" si="9"/>
        <v>7.199999999999999</v>
      </c>
      <c r="E90" s="40"/>
      <c r="F90" s="40"/>
      <c r="G90" s="40"/>
      <c r="H90" s="40"/>
      <c r="I90" s="40"/>
      <c r="J90" s="40"/>
      <c r="K90" s="94"/>
      <c r="L90" s="95"/>
      <c r="M90" s="18"/>
    </row>
    <row r="91" spans="2:13" ht="15">
      <c r="B91" s="200">
        <f t="shared" si="8"/>
        <v>2025</v>
      </c>
      <c r="C91" s="196">
        <v>10</v>
      </c>
      <c r="D91" s="566">
        <f t="shared" si="9"/>
        <v>7.199999999999999</v>
      </c>
      <c r="E91" s="40"/>
      <c r="F91" s="40"/>
      <c r="G91" s="40"/>
      <c r="H91" s="40"/>
      <c r="I91" s="40"/>
      <c r="J91" s="40"/>
      <c r="K91" s="94"/>
      <c r="L91" s="95"/>
      <c r="M91" s="18"/>
    </row>
    <row r="92" spans="2:13" ht="15">
      <c r="B92" s="200">
        <f t="shared" si="8"/>
        <v>2026</v>
      </c>
      <c r="C92" s="196">
        <v>10</v>
      </c>
      <c r="D92" s="566">
        <f t="shared" si="9"/>
        <v>7.199999999999999</v>
      </c>
      <c r="E92" s="40"/>
      <c r="F92" s="40"/>
      <c r="G92" s="40"/>
      <c r="H92" s="40"/>
      <c r="I92" s="40"/>
      <c r="J92" s="40"/>
      <c r="K92" s="19"/>
      <c r="L92" s="19"/>
      <c r="M92" s="19"/>
    </row>
    <row r="93" spans="2:13" ht="15">
      <c r="B93" s="200">
        <f t="shared" si="8"/>
        <v>2027</v>
      </c>
      <c r="C93" s="196">
        <v>10</v>
      </c>
      <c r="D93" s="566">
        <f t="shared" si="9"/>
        <v>7.199999999999999</v>
      </c>
      <c r="E93" s="40"/>
      <c r="F93" s="40"/>
      <c r="G93" s="40"/>
      <c r="H93" s="40"/>
      <c r="I93" s="40"/>
      <c r="J93" s="40"/>
      <c r="K93" s="19"/>
      <c r="L93" s="19"/>
      <c r="M93" s="19"/>
    </row>
    <row r="94" spans="2:13" ht="15">
      <c r="B94" s="200">
        <f t="shared" si="8"/>
        <v>2028</v>
      </c>
      <c r="C94" s="196">
        <v>10</v>
      </c>
      <c r="D94" s="566">
        <f t="shared" si="9"/>
        <v>7.199999999999999</v>
      </c>
      <c r="E94" s="40"/>
      <c r="F94" s="40"/>
      <c r="G94" s="40"/>
      <c r="H94" s="40"/>
      <c r="I94" s="40"/>
      <c r="J94" s="40"/>
      <c r="K94" s="19"/>
      <c r="L94" s="19"/>
      <c r="M94" s="19"/>
    </row>
    <row r="95" spans="2:13" ht="15">
      <c r="B95" s="200">
        <f t="shared" si="8"/>
        <v>2029</v>
      </c>
      <c r="C95" s="196">
        <v>10</v>
      </c>
      <c r="D95" s="566">
        <f t="shared" si="9"/>
        <v>7.199999999999999</v>
      </c>
      <c r="E95" s="40"/>
      <c r="F95" s="40"/>
      <c r="G95" s="40"/>
      <c r="H95" s="40"/>
      <c r="I95" s="40"/>
      <c r="J95" s="40"/>
      <c r="K95" s="19"/>
      <c r="L95" s="19"/>
      <c r="M95" s="19"/>
    </row>
    <row r="96" spans="2:10" ht="15">
      <c r="B96" s="200">
        <f t="shared" si="8"/>
        <v>2030</v>
      </c>
      <c r="C96" s="196">
        <v>10</v>
      </c>
      <c r="D96" s="566">
        <f t="shared" si="9"/>
        <v>7.199999999999999</v>
      </c>
      <c r="E96" s="40"/>
      <c r="F96" s="40"/>
      <c r="G96" s="40"/>
      <c r="H96" s="40"/>
      <c r="I96" s="40"/>
      <c r="J96" s="40"/>
    </row>
    <row r="97" spans="2:10" ht="15">
      <c r="B97" s="200">
        <f t="shared" si="8"/>
        <v>2031</v>
      </c>
      <c r="C97" s="196">
        <v>10</v>
      </c>
      <c r="D97" s="566">
        <f t="shared" si="9"/>
        <v>7.199999999999999</v>
      </c>
      <c r="E97" s="40"/>
      <c r="F97" s="40"/>
      <c r="G97" s="40"/>
      <c r="H97" s="40"/>
      <c r="I97" s="40"/>
      <c r="J97" s="40"/>
    </row>
    <row r="98" spans="2:10" ht="15">
      <c r="B98" s="200">
        <f t="shared" si="8"/>
        <v>2032</v>
      </c>
      <c r="C98" s="196">
        <v>10</v>
      </c>
      <c r="D98" s="566">
        <f t="shared" si="9"/>
        <v>7.199999999999999</v>
      </c>
      <c r="E98" s="40"/>
      <c r="F98" s="40"/>
      <c r="G98" s="40"/>
      <c r="H98" s="40"/>
      <c r="I98" s="40"/>
      <c r="J98" s="40"/>
    </row>
    <row r="99" spans="2:10" ht="15">
      <c r="B99" s="200">
        <f t="shared" si="8"/>
        <v>2033</v>
      </c>
      <c r="C99" s="196">
        <v>10</v>
      </c>
      <c r="D99" s="566">
        <f t="shared" si="9"/>
        <v>7.199999999999999</v>
      </c>
      <c r="E99" s="40"/>
      <c r="F99" s="40"/>
      <c r="G99" s="40"/>
      <c r="H99" s="40"/>
      <c r="I99" s="40"/>
      <c r="J99" s="40"/>
    </row>
    <row r="100" spans="2:10" ht="15">
      <c r="B100" s="200">
        <f t="shared" si="8"/>
        <v>2034</v>
      </c>
      <c r="C100" s="196">
        <v>10</v>
      </c>
      <c r="D100" s="566">
        <f t="shared" si="9"/>
        <v>7.199999999999999</v>
      </c>
      <c r="E100" s="40"/>
      <c r="F100" s="40"/>
      <c r="G100" s="40"/>
      <c r="H100" s="40"/>
      <c r="I100" s="40"/>
      <c r="J100" s="40"/>
    </row>
    <row r="101" spans="2:10" ht="15">
      <c r="B101" s="200">
        <f t="shared" si="8"/>
        <v>2035</v>
      </c>
      <c r="C101" s="196">
        <v>10</v>
      </c>
      <c r="D101" s="566">
        <f t="shared" si="9"/>
        <v>7.199999999999999</v>
      </c>
      <c r="E101" s="40"/>
      <c r="F101" s="40"/>
      <c r="G101" s="40"/>
      <c r="H101" s="40"/>
      <c r="I101" s="40"/>
      <c r="J101" s="40"/>
    </row>
    <row r="102" spans="2:10" ht="15">
      <c r="B102" s="200">
        <f t="shared" si="8"/>
        <v>2036</v>
      </c>
      <c r="C102" s="196">
        <v>10</v>
      </c>
      <c r="D102" s="566">
        <f t="shared" si="9"/>
        <v>7.199999999999999</v>
      </c>
      <c r="E102" s="40"/>
      <c r="F102" s="40"/>
      <c r="G102" s="40"/>
      <c r="H102" s="40"/>
      <c r="I102" s="40"/>
      <c r="J102" s="40"/>
    </row>
    <row r="103" spans="2:10" ht="15">
      <c r="B103" s="200">
        <f t="shared" si="8"/>
        <v>2037</v>
      </c>
      <c r="C103" s="196">
        <v>10</v>
      </c>
      <c r="D103" s="566">
        <f t="shared" si="9"/>
        <v>7.199999999999999</v>
      </c>
      <c r="E103" s="40"/>
      <c r="F103" s="40"/>
      <c r="G103" s="40"/>
      <c r="H103" s="40"/>
      <c r="I103" s="40"/>
      <c r="J103" s="40"/>
    </row>
    <row r="104" spans="2:10" ht="15">
      <c r="B104" s="200">
        <f t="shared" si="8"/>
        <v>2038</v>
      </c>
      <c r="C104" s="196">
        <v>10</v>
      </c>
      <c r="D104" s="566">
        <f t="shared" si="9"/>
        <v>7.199999999999999</v>
      </c>
      <c r="E104" s="40"/>
      <c r="F104" s="40"/>
      <c r="G104" s="40"/>
      <c r="H104" s="40"/>
      <c r="I104" s="40"/>
      <c r="J104" s="40"/>
    </row>
    <row r="105" spans="2:10" ht="15">
      <c r="B105" s="200">
        <f t="shared" si="8"/>
        <v>2039</v>
      </c>
      <c r="C105" s="196">
        <v>10</v>
      </c>
      <c r="D105" s="566">
        <f t="shared" si="9"/>
        <v>7.199999999999999</v>
      </c>
      <c r="E105" s="40"/>
      <c r="F105" s="40"/>
      <c r="G105" s="40"/>
      <c r="H105" s="40"/>
      <c r="I105" s="40"/>
      <c r="J105" s="40"/>
    </row>
    <row r="106" spans="2:10" ht="15">
      <c r="B106" s="200">
        <f>+B105+1</f>
        <v>2040</v>
      </c>
      <c r="C106" s="196">
        <v>10</v>
      </c>
      <c r="D106" s="566">
        <f t="shared" si="9"/>
        <v>7.199999999999999</v>
      </c>
      <c r="E106" s="40"/>
      <c r="F106" s="40"/>
      <c r="G106" s="40"/>
      <c r="H106" s="40"/>
      <c r="I106" s="40"/>
      <c r="J106" s="40"/>
    </row>
    <row r="108" spans="2:4" ht="15">
      <c r="B108" s="190" t="s">
        <v>400</v>
      </c>
      <c r="C108" s="190" t="s">
        <v>401</v>
      </c>
      <c r="D108" s="190" t="s">
        <v>402</v>
      </c>
    </row>
    <row r="109" spans="2:4" ht="15">
      <c r="B109" s="190" t="s">
        <v>21</v>
      </c>
      <c r="C109" s="190" t="s">
        <v>170</v>
      </c>
      <c r="D109" s="190" t="s">
        <v>169</v>
      </c>
    </row>
    <row r="110" spans="2:5" ht="15">
      <c r="B110" s="190" t="s">
        <v>404</v>
      </c>
      <c r="C110" s="190" t="s">
        <v>405</v>
      </c>
      <c r="D110" s="190" t="s">
        <v>405</v>
      </c>
      <c r="E110" s="30" t="s">
        <v>177</v>
      </c>
    </row>
    <row r="111" spans="2:4" ht="15">
      <c r="B111" s="196">
        <v>8.81</v>
      </c>
      <c r="C111" s="196">
        <v>1.26</v>
      </c>
      <c r="D111" s="196">
        <v>0.22</v>
      </c>
    </row>
    <row r="112" spans="2:4" ht="15">
      <c r="B112" s="196">
        <v>10.15</v>
      </c>
      <c r="C112" s="196">
        <v>1.44</v>
      </c>
      <c r="D112" s="196">
        <v>0.26</v>
      </c>
    </row>
    <row r="113" spans="2:4" ht="15">
      <c r="B113" s="196">
        <v>5.74</v>
      </c>
      <c r="C113" s="196">
        <v>0.09</v>
      </c>
      <c r="D113" s="196">
        <v>0.41</v>
      </c>
    </row>
    <row r="115" spans="2:4" ht="15">
      <c r="B115" s="189" t="s">
        <v>409</v>
      </c>
      <c r="C115" s="189" t="s">
        <v>410</v>
      </c>
      <c r="D115" s="189" t="s">
        <v>410</v>
      </c>
    </row>
    <row r="116" spans="2:4" ht="15">
      <c r="B116" s="190" t="s">
        <v>404</v>
      </c>
      <c r="C116" s="190" t="s">
        <v>404</v>
      </c>
      <c r="D116" s="190" t="s">
        <v>404</v>
      </c>
    </row>
    <row r="117" spans="2:4" ht="15">
      <c r="B117" s="202">
        <v>8.81</v>
      </c>
      <c r="C117" s="202">
        <v>0.0014</v>
      </c>
      <c r="D117" s="202">
        <v>0.0001</v>
      </c>
    </row>
    <row r="118" spans="2:4" ht="15">
      <c r="B118" s="202">
        <v>10.15</v>
      </c>
      <c r="C118" s="202">
        <v>0.0015</v>
      </c>
      <c r="D118" s="202">
        <v>0.0001</v>
      </c>
    </row>
    <row r="119" spans="2:4" ht="15">
      <c r="B119" s="202">
        <v>5.74</v>
      </c>
      <c r="C119" s="202">
        <v>0.001</v>
      </c>
      <c r="D119" s="202">
        <v>0.0001</v>
      </c>
    </row>
    <row r="121" spans="2:4" ht="39.75" customHeight="1">
      <c r="B121" s="203" t="s">
        <v>411</v>
      </c>
      <c r="C121" s="203" t="s">
        <v>412</v>
      </c>
      <c r="D121" s="203" t="s">
        <v>413</v>
      </c>
    </row>
    <row r="122" spans="2:4" ht="15">
      <c r="B122" s="204">
        <v>878.71</v>
      </c>
      <c r="C122" s="204">
        <v>0.0067</v>
      </c>
      <c r="D122" s="204">
        <v>0.0037</v>
      </c>
    </row>
    <row r="124" spans="2:3" ht="15">
      <c r="B124" s="205">
        <v>0.01425</v>
      </c>
      <c r="C124" s="30" t="s">
        <v>417</v>
      </c>
    </row>
  </sheetData>
  <sheetProtection password="A20C" sheet="1" objects="1" scenarios="1"/>
  <mergeCells count="2">
    <mergeCell ref="B3:D3"/>
    <mergeCell ref="D6:E6"/>
  </mergeCells>
  <hyperlinks>
    <hyperlink ref="B1:N1" location="'Table of Contents'!B3" display="Table of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Greg Tholen</Manager>
  <Company>Bay Area Air Quality Management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BGM</dc:title>
  <dc:subject>Greenhouse Gas Calculator</dc:subject>
  <dc:creator>Jeanne</dc:creator>
  <cp:keywords>Greenhouse Gas Model Calculator</cp:keywords>
  <dc:description/>
  <cp:lastModifiedBy>City of Clayton</cp:lastModifiedBy>
  <cp:lastPrinted>2011-06-17T22:47:25Z</cp:lastPrinted>
  <dcterms:created xsi:type="dcterms:W3CDTF">2006-09-16T00:00:00Z</dcterms:created>
  <dcterms:modified xsi:type="dcterms:W3CDTF">2011-06-17T22:48:13Z</dcterms:modified>
  <cp:category>GHG</cp:category>
  <cp:version/>
  <cp:contentType/>
  <cp:contentStatus/>
</cp:coreProperties>
</file>

<file path=docProps/custom.xml><?xml version="1.0" encoding="utf-8"?>
<Properties xmlns="http://schemas.openxmlformats.org/officeDocument/2006/custom-properties" xmlns:vt="http://schemas.openxmlformats.org/officeDocument/2006/docPropsVTypes"/>
</file>